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PAD\PAD 2021\"/>
    </mc:Choice>
  </mc:AlternateContent>
  <xr:revisionPtr revIDLastSave="0" documentId="8_{E1BA76C2-E22D-417C-9A2C-E0B98401825D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atio" sheetId="3" state="hidden" r:id="rId1"/>
    <sheet name="Synthèse données &amp; ratios" sheetId="14" r:id="rId2"/>
    <sheet name="Chiffres clés" sheetId="20" state="hidden" r:id="rId3"/>
    <sheet name=" analyse 5ans" sheetId="17" state="hidden" r:id="rId4"/>
    <sheet name="Feuil2" sheetId="22" state="hidden" r:id="rId5"/>
  </sheets>
  <externalReferences>
    <externalReference r:id="rId6"/>
  </externalReferences>
  <definedNames>
    <definedName name="crossborder">[1]CBI!#REF!</definedName>
    <definedName name="global">[1]CBI!#REF!</definedName>
    <definedName name="moodynum">[1]CBI!#REF!</definedName>
    <definedName name="stats_1">[1]CBI!#REF!</definedName>
    <definedName name="stats_2">[1]CBI!#REF!</definedName>
  </definedNames>
  <calcPr calcId="191029"/>
</workbook>
</file>

<file path=xl/calcChain.xml><?xml version="1.0" encoding="utf-8"?>
<calcChain xmlns="http://schemas.openxmlformats.org/spreadsheetml/2006/main">
  <c r="E41" i="17" l="1"/>
  <c r="F41" i="17"/>
  <c r="G41" i="17"/>
  <c r="H41" i="17"/>
  <c r="D41" i="17"/>
  <c r="E40" i="17"/>
  <c r="F40" i="17"/>
  <c r="G40" i="17"/>
  <c r="H40" i="17"/>
  <c r="D40" i="17"/>
  <c r="F39" i="17"/>
  <c r="G39" i="17"/>
  <c r="H39" i="17"/>
  <c r="E38" i="17"/>
  <c r="F38" i="17"/>
  <c r="G38" i="17"/>
  <c r="H38" i="17"/>
  <c r="D38" i="17"/>
  <c r="E56" i="14"/>
  <c r="E57" i="14"/>
  <c r="E127" i="14" s="1"/>
  <c r="E58" i="14"/>
  <c r="E61" i="14"/>
  <c r="E50" i="14"/>
  <c r="E6" i="14"/>
  <c r="E7" i="14"/>
  <c r="E8" i="14"/>
  <c r="E11" i="14"/>
  <c r="E12" i="14"/>
  <c r="E13" i="14"/>
  <c r="E14" i="14"/>
  <c r="E18" i="14"/>
  <c r="E19" i="14"/>
  <c r="E67" i="14"/>
  <c r="E70" i="14"/>
  <c r="E69" i="14"/>
  <c r="E68" i="14"/>
  <c r="E66" i="14"/>
  <c r="E65" i="14"/>
  <c r="E23" i="14"/>
  <c r="E24" i="14"/>
  <c r="E31" i="14"/>
  <c r="E30" i="14"/>
  <c r="E35" i="14"/>
  <c r="E78" i="14"/>
  <c r="E84" i="14" s="1"/>
  <c r="E87" i="14" s="1"/>
  <c r="E39" i="17"/>
  <c r="D26" i="20"/>
  <c r="E26" i="20"/>
  <c r="F26" i="20"/>
  <c r="G26" i="20"/>
  <c r="C26" i="20"/>
  <c r="G28" i="20"/>
  <c r="E16" i="20"/>
  <c r="F16" i="20"/>
  <c r="G16" i="20"/>
  <c r="D16" i="20"/>
  <c r="E14" i="20"/>
  <c r="F14" i="20"/>
  <c r="G14" i="20"/>
  <c r="D14" i="20"/>
  <c r="D20" i="20"/>
  <c r="E20" i="20"/>
  <c r="F20" i="20"/>
  <c r="G20" i="20"/>
  <c r="C20" i="20"/>
  <c r="D22" i="20"/>
  <c r="E22" i="20"/>
  <c r="F22" i="20"/>
  <c r="G22" i="20"/>
  <c r="C22" i="20"/>
  <c r="D56" i="14"/>
  <c r="D57" i="14"/>
  <c r="D58" i="14"/>
  <c r="D61" i="14"/>
  <c r="D32" i="20"/>
  <c r="E32" i="20"/>
  <c r="F32" i="20"/>
  <c r="G32" i="20"/>
  <c r="C32" i="20"/>
  <c r="D31" i="20"/>
  <c r="E31" i="20"/>
  <c r="F31" i="20"/>
  <c r="G31" i="20"/>
  <c r="C31" i="20"/>
  <c r="D29" i="20"/>
  <c r="E29" i="20"/>
  <c r="F29" i="20"/>
  <c r="G29" i="20"/>
  <c r="C29" i="20"/>
  <c r="D28" i="20"/>
  <c r="E28" i="20"/>
  <c r="F28" i="20"/>
  <c r="C28" i="20"/>
  <c r="D25" i="20"/>
  <c r="E25" i="20"/>
  <c r="F25" i="20"/>
  <c r="G25" i="20"/>
  <c r="C25" i="20"/>
  <c r="D24" i="20"/>
  <c r="E24" i="20"/>
  <c r="F24" i="20"/>
  <c r="G24" i="20"/>
  <c r="C24" i="20"/>
  <c r="D10" i="20"/>
  <c r="E10" i="20"/>
  <c r="F10" i="20"/>
  <c r="G10" i="20"/>
  <c r="C10" i="20"/>
  <c r="D7" i="20"/>
  <c r="E7" i="20"/>
  <c r="F7" i="20"/>
  <c r="G7" i="20"/>
  <c r="C7" i="20"/>
  <c r="D78" i="14"/>
  <c r="D84" i="14" s="1"/>
  <c r="D87" i="14" s="1"/>
  <c r="D50" i="14"/>
  <c r="D46" i="14"/>
  <c r="C56" i="14"/>
  <c r="C57" i="14"/>
  <c r="C58" i="14"/>
  <c r="C65" i="14"/>
  <c r="C66" i="14"/>
  <c r="C67" i="14"/>
  <c r="C68" i="14"/>
  <c r="C69" i="14"/>
  <c r="C70" i="14"/>
  <c r="C46" i="14"/>
  <c r="C35" i="14"/>
  <c r="C39" i="14"/>
  <c r="C30" i="14"/>
  <c r="C31" i="14"/>
  <c r="C23" i="14"/>
  <c r="C24" i="14"/>
  <c r="C18" i="14"/>
  <c r="C19" i="14"/>
  <c r="C11" i="14"/>
  <c r="C12" i="14"/>
  <c r="C13" i="14"/>
  <c r="C14" i="14"/>
  <c r="C6" i="14"/>
  <c r="C7" i="14"/>
  <c r="C8" i="14"/>
  <c r="D70" i="14"/>
  <c r="D69" i="14"/>
  <c r="D68" i="14"/>
  <c r="D67" i="14"/>
  <c r="D66" i="14"/>
  <c r="E135" i="14" s="1"/>
  <c r="D65" i="14"/>
  <c r="D35" i="14"/>
  <c r="D39" i="14"/>
  <c r="E39" i="14"/>
  <c r="D30" i="14"/>
  <c r="D31" i="14"/>
  <c r="E111" i="14" s="1"/>
  <c r="D23" i="14"/>
  <c r="D24" i="14"/>
  <c r="D18" i="14"/>
  <c r="D19" i="14"/>
  <c r="D14" i="14"/>
  <c r="D13" i="14"/>
  <c r="E99" i="14" s="1"/>
  <c r="D12" i="14"/>
  <c r="D11" i="14"/>
  <c r="D8" i="14"/>
  <c r="D7" i="14"/>
  <c r="D6" i="14"/>
  <c r="E62" i="14"/>
  <c r="D53" i="14"/>
  <c r="E53" i="14"/>
  <c r="C53" i="14"/>
  <c r="D51" i="14"/>
  <c r="E51" i="14"/>
  <c r="C51" i="14"/>
  <c r="C48" i="14"/>
  <c r="D48" i="14"/>
  <c r="E48" i="14"/>
  <c r="E28" i="14"/>
  <c r="E29" i="14"/>
  <c r="E5" i="14"/>
  <c r="D5" i="14"/>
  <c r="E64" i="14"/>
  <c r="D64" i="14"/>
  <c r="E133" i="14" s="1"/>
  <c r="E71" i="14"/>
  <c r="H34" i="3"/>
  <c r="D52" i="14"/>
  <c r="D47" i="14"/>
  <c r="D49" i="14"/>
  <c r="E52" i="14"/>
  <c r="E47" i="14"/>
  <c r="E49" i="14"/>
  <c r="C47" i="14"/>
  <c r="C71" i="14"/>
  <c r="G34" i="3"/>
  <c r="H39" i="3"/>
  <c r="H40" i="3"/>
  <c r="H26" i="3"/>
  <c r="D39" i="3"/>
  <c r="D41" i="3" s="1"/>
  <c r="D42" i="3" s="1"/>
  <c r="D40" i="3"/>
  <c r="E39" i="3"/>
  <c r="E41" i="3" s="1"/>
  <c r="E42" i="3" s="1"/>
  <c r="E40" i="3"/>
  <c r="F39" i="3"/>
  <c r="F40" i="3"/>
  <c r="G39" i="3"/>
  <c r="G40" i="3"/>
  <c r="F26" i="3"/>
  <c r="G26" i="3"/>
  <c r="C26" i="3"/>
  <c r="D26" i="3"/>
  <c r="E26" i="3"/>
  <c r="C39" i="3"/>
  <c r="C40" i="3"/>
  <c r="C27" i="3"/>
  <c r="C64" i="14"/>
  <c r="C62" i="14"/>
  <c r="E34" i="3"/>
  <c r="C29" i="14"/>
  <c r="D29" i="14"/>
  <c r="D5" i="3"/>
  <c r="C33" i="3"/>
  <c r="D33" i="3"/>
  <c r="D27" i="3"/>
  <c r="E5" i="3"/>
  <c r="D46" i="3"/>
  <c r="E27" i="3"/>
  <c r="E35" i="3"/>
  <c r="F35" i="3"/>
  <c r="C46" i="3"/>
  <c r="F5" i="3"/>
  <c r="E33" i="3"/>
  <c r="C35" i="3"/>
  <c r="F27" i="3"/>
  <c r="G33" i="3"/>
  <c r="G5" i="3"/>
  <c r="E46" i="3"/>
  <c r="E97" i="14"/>
  <c r="E95" i="14"/>
  <c r="H5" i="3"/>
  <c r="H33" i="3"/>
  <c r="H27" i="3"/>
  <c r="H35" i="3"/>
  <c r="D35" i="3"/>
  <c r="C34" i="3"/>
  <c r="D151" i="14"/>
  <c r="D4" i="3"/>
  <c r="D10" i="3" s="1"/>
  <c r="D11" i="3" s="1"/>
  <c r="E25" i="3"/>
  <c r="E36" i="3"/>
  <c r="F7" i="3"/>
  <c r="C47" i="3"/>
  <c r="D25" i="3"/>
  <c r="H36" i="3"/>
  <c r="F25" i="3"/>
  <c r="C157" i="14" l="1"/>
  <c r="C36" i="3"/>
  <c r="C89" i="14" s="1"/>
  <c r="F29" i="3"/>
  <c r="D30" i="3"/>
  <c r="E30" i="3"/>
  <c r="C41" i="3"/>
  <c r="C42" i="3" s="1"/>
  <c r="G41" i="3"/>
  <c r="G42" i="3" s="1"/>
  <c r="F41" i="3"/>
  <c r="F42" i="3" s="1"/>
  <c r="H41" i="3"/>
  <c r="H42" i="3" s="1"/>
  <c r="E103" i="14"/>
  <c r="E106" i="14"/>
  <c r="E29" i="3"/>
  <c r="E126" i="14"/>
  <c r="D158" i="14"/>
  <c r="E134" i="14"/>
  <c r="E136" i="14"/>
  <c r="E109" i="14"/>
  <c r="E102" i="14"/>
  <c r="E105" i="14"/>
  <c r="E98" i="14"/>
  <c r="H42" i="17"/>
  <c r="F42" i="17"/>
  <c r="G42" i="17"/>
  <c r="D157" i="14"/>
  <c r="E114" i="14"/>
  <c r="E120" i="14"/>
  <c r="D154" i="14"/>
  <c r="E137" i="14"/>
  <c r="E138" i="14"/>
  <c r="E121" i="14"/>
  <c r="E139" i="14"/>
  <c r="E100" i="14"/>
  <c r="E119" i="14"/>
  <c r="D54" i="14"/>
  <c r="D155" i="14" s="1"/>
  <c r="H4" i="3"/>
  <c r="H10" i="3" s="1"/>
  <c r="H11" i="3" s="1"/>
  <c r="C49" i="14"/>
  <c r="E90" i="14"/>
  <c r="E88" i="14"/>
  <c r="D25" i="17"/>
  <c r="E124" i="14"/>
  <c r="E25" i="17"/>
  <c r="F26" i="17"/>
  <c r="F32" i="17"/>
  <c r="F47" i="3"/>
  <c r="D6" i="3"/>
  <c r="G27" i="3"/>
  <c r="D159" i="14"/>
  <c r="C151" i="14"/>
  <c r="D34" i="3"/>
  <c r="D36" i="3" s="1"/>
  <c r="D71" i="14"/>
  <c r="D88" i="14" s="1"/>
  <c r="D62" i="14"/>
  <c r="E47" i="3"/>
  <c r="D47" i="3"/>
  <c r="C6" i="3"/>
  <c r="C52" i="14"/>
  <c r="D26" i="17"/>
  <c r="D32" i="17"/>
  <c r="F34" i="3"/>
  <c r="H25" i="3"/>
  <c r="D160" i="14"/>
  <c r="E151" i="14"/>
  <c r="G31" i="17"/>
  <c r="E46" i="14"/>
  <c r="E54" i="14" s="1"/>
  <c r="E147" i="14" s="1"/>
  <c r="E6" i="3"/>
  <c r="H31" i="17"/>
  <c r="E42" i="17"/>
  <c r="D29" i="3"/>
  <c r="G47" i="3"/>
  <c r="D9" i="14"/>
  <c r="D15" i="14" s="1"/>
  <c r="F30" i="3"/>
  <c r="E89" i="14"/>
  <c r="D31" i="17"/>
  <c r="F46" i="3"/>
  <c r="F6" i="3"/>
  <c r="F16" i="3" s="1"/>
  <c r="G35" i="3"/>
  <c r="G36" i="3" s="1"/>
  <c r="E159" i="14"/>
  <c r="E154" i="14"/>
  <c r="C5" i="14"/>
  <c r="C5" i="3"/>
  <c r="D28" i="14"/>
  <c r="E108" i="14" s="1"/>
  <c r="E122" i="14"/>
  <c r="E157" i="14"/>
  <c r="H7" i="3"/>
  <c r="E123" i="14"/>
  <c r="C48" i="3"/>
  <c r="G25" i="3"/>
  <c r="G29" i="3" s="1"/>
  <c r="G6" i="3"/>
  <c r="E9" i="14"/>
  <c r="E93" i="14"/>
  <c r="E160" i="14"/>
  <c r="E158" i="14"/>
  <c r="E20" i="17"/>
  <c r="G7" i="3"/>
  <c r="F33" i="3"/>
  <c r="F36" i="3" s="1"/>
  <c r="E7" i="3"/>
  <c r="H6" i="3"/>
  <c r="C28" i="14"/>
  <c r="G26" i="17"/>
  <c r="G32" i="17"/>
  <c r="D39" i="17"/>
  <c r="D42" i="17" s="1"/>
  <c r="H25" i="17"/>
  <c r="C13" i="3" l="1"/>
  <c r="C54" i="14"/>
  <c r="C155" i="14" s="1"/>
  <c r="D147" i="14"/>
  <c r="E155" i="14"/>
  <c r="D19" i="17" s="1"/>
  <c r="G16" i="3"/>
  <c r="G13" i="3"/>
  <c r="E7" i="17"/>
  <c r="E19" i="17"/>
  <c r="E16" i="3"/>
  <c r="E13" i="3"/>
  <c r="H13" i="3"/>
  <c r="H16" i="3"/>
  <c r="D7" i="3"/>
  <c r="D16" i="3" s="1"/>
  <c r="C4" i="3"/>
  <c r="C10" i="3" s="1"/>
  <c r="C11" i="3" s="1"/>
  <c r="E32" i="17"/>
  <c r="E26" i="17"/>
  <c r="E27" i="17" s="1"/>
  <c r="H30" i="3"/>
  <c r="H29" i="3"/>
  <c r="C9" i="14"/>
  <c r="C15" i="14" s="1"/>
  <c r="C158" i="14"/>
  <c r="C7" i="3"/>
  <c r="C16" i="3" s="1"/>
  <c r="G7" i="17"/>
  <c r="D20" i="17"/>
  <c r="C159" i="14"/>
  <c r="C154" i="14"/>
  <c r="C160" i="14"/>
  <c r="F19" i="17"/>
  <c r="G4" i="3"/>
  <c r="G10" i="3" s="1"/>
  <c r="G11" i="3" s="1"/>
  <c r="F48" i="3"/>
  <c r="G30" i="3"/>
  <c r="E4" i="3"/>
  <c r="E10" i="3" s="1"/>
  <c r="E11" i="3" s="1"/>
  <c r="D48" i="3"/>
  <c r="F13" i="3"/>
  <c r="G20" i="17"/>
  <c r="F31" i="17"/>
  <c r="C25" i="3"/>
  <c r="E125" i="14"/>
  <c r="H47" i="3"/>
  <c r="D59" i="14"/>
  <c r="D13" i="3"/>
  <c r="F4" i="3"/>
  <c r="F10" i="3" s="1"/>
  <c r="F11" i="3" s="1"/>
  <c r="E48" i="3"/>
  <c r="D27" i="17"/>
  <c r="F20" i="17"/>
  <c r="D7" i="17"/>
  <c r="E140" i="14"/>
  <c r="D89" i="14"/>
  <c r="H26" i="17"/>
  <c r="H27" i="17" s="1"/>
  <c r="H32" i="17"/>
  <c r="G46" i="3"/>
  <c r="H20" i="17"/>
  <c r="F25" i="17"/>
  <c r="F27" i="17" s="1"/>
  <c r="G25" i="17"/>
  <c r="G27" i="17" s="1"/>
  <c r="E31" i="17"/>
  <c r="E15" i="14"/>
  <c r="E96" i="14"/>
  <c r="D16" i="14"/>
  <c r="D20" i="14"/>
  <c r="D165" i="14" s="1"/>
  <c r="H19" i="3" l="1"/>
  <c r="H20" i="3" s="1"/>
  <c r="F19" i="3"/>
  <c r="F20" i="3" s="1"/>
  <c r="C19" i="3"/>
  <c r="C20" i="3" s="1"/>
  <c r="C147" i="14"/>
  <c r="J20" i="17"/>
  <c r="E19" i="3"/>
  <c r="E20" i="3" s="1"/>
  <c r="H46" i="3"/>
  <c r="I46" i="3"/>
  <c r="G19" i="17"/>
  <c r="G48" i="3"/>
  <c r="H19" i="17"/>
  <c r="H7" i="17"/>
  <c r="D19" i="3"/>
  <c r="D20" i="3" s="1"/>
  <c r="E59" i="14"/>
  <c r="F7" i="17"/>
  <c r="I47" i="3"/>
  <c r="E46" i="17"/>
  <c r="D25" i="14"/>
  <c r="D21" i="14"/>
  <c r="D164" i="14"/>
  <c r="D60" i="14"/>
  <c r="D63" i="14" s="1"/>
  <c r="C30" i="3"/>
  <c r="C29" i="3"/>
  <c r="C16" i="14"/>
  <c r="C20" i="14"/>
  <c r="E101" i="14"/>
  <c r="E20" i="14"/>
  <c r="E16" i="14"/>
  <c r="E47" i="17"/>
  <c r="G19" i="3"/>
  <c r="G20" i="3" s="1"/>
  <c r="J7" i="17" l="1"/>
  <c r="J19" i="17"/>
  <c r="J46" i="3"/>
  <c r="D72" i="14"/>
  <c r="D148" i="14"/>
  <c r="D163" i="14"/>
  <c r="E25" i="14"/>
  <c r="E104" i="14"/>
  <c r="E164" i="14"/>
  <c r="E21" i="14"/>
  <c r="E165" i="14"/>
  <c r="E129" i="14"/>
  <c r="E60" i="14"/>
  <c r="C21" i="14"/>
  <c r="C25" i="14"/>
  <c r="C164" i="14"/>
  <c r="C165" i="14"/>
  <c r="D32" i="14"/>
  <c r="D26" i="14"/>
  <c r="H48" i="3"/>
  <c r="J47" i="3"/>
  <c r="D47" i="17" l="1"/>
  <c r="E63" i="14"/>
  <c r="E130" i="14"/>
  <c r="D46" i="17"/>
  <c r="E32" i="14"/>
  <c r="E107" i="14"/>
  <c r="E26" i="14"/>
  <c r="C26" i="14"/>
  <c r="C32" i="14"/>
  <c r="G47" i="17"/>
  <c r="G46" i="17"/>
  <c r="I48" i="3"/>
  <c r="D36" i="14"/>
  <c r="D33" i="14"/>
  <c r="D41" i="14"/>
  <c r="K47" i="3"/>
  <c r="G33" i="17"/>
  <c r="G34" i="17" s="1"/>
  <c r="G11" i="17"/>
  <c r="K46" i="3"/>
  <c r="L47" i="3" l="1"/>
  <c r="E36" i="14"/>
  <c r="E41" i="14"/>
  <c r="E33" i="14"/>
  <c r="E112" i="14"/>
  <c r="C36" i="14"/>
  <c r="C40" i="14" s="1"/>
  <c r="C59" i="14" s="1"/>
  <c r="C60" i="14" s="1"/>
  <c r="C146" i="14"/>
  <c r="C41" i="14"/>
  <c r="C150" i="14"/>
  <c r="E21" i="17"/>
  <c r="E33" i="17"/>
  <c r="E34" i="17" s="1"/>
  <c r="E11" i="17"/>
  <c r="E9" i="17"/>
  <c r="E13" i="17"/>
  <c r="E6" i="17"/>
  <c r="F46" i="17"/>
  <c r="E156" i="14"/>
  <c r="D33" i="17"/>
  <c r="D34" i="17" s="1"/>
  <c r="E132" i="14"/>
  <c r="E72" i="14"/>
  <c r="E163" i="14"/>
  <c r="E148" i="14"/>
  <c r="F33" i="17"/>
  <c r="F34" i="17" s="1"/>
  <c r="F47" i="17"/>
  <c r="D149" i="14"/>
  <c r="D40" i="14"/>
  <c r="D37" i="14"/>
  <c r="D150" i="14"/>
  <c r="D146" i="14"/>
  <c r="H47" i="17"/>
  <c r="J48" i="3"/>
  <c r="G21" i="17"/>
  <c r="L46" i="3"/>
  <c r="H46" i="17"/>
  <c r="J46" i="17" l="1"/>
  <c r="J47" i="17"/>
  <c r="E146" i="14"/>
  <c r="E149" i="14"/>
  <c r="E150" i="14"/>
  <c r="E40" i="14"/>
  <c r="E37" i="14"/>
  <c r="M47" i="3"/>
  <c r="C63" i="14"/>
  <c r="C72" i="14" s="1"/>
  <c r="C163" i="14"/>
  <c r="C148" i="14"/>
  <c r="D11" i="17"/>
  <c r="D21" i="17"/>
  <c r="F11" i="17"/>
  <c r="F21" i="17"/>
  <c r="C149" i="14"/>
  <c r="K48" i="3"/>
  <c r="E141" i="14"/>
  <c r="M46" i="3"/>
  <c r="D13" i="17" l="1"/>
  <c r="H33" i="17"/>
  <c r="H34" i="17" s="1"/>
  <c r="J34" i="17" s="1"/>
  <c r="N46" i="3"/>
  <c r="D6" i="17"/>
  <c r="L48" i="3"/>
  <c r="N47" i="3"/>
  <c r="D9" i="17"/>
  <c r="G6" i="17"/>
  <c r="G9" i="17"/>
  <c r="G13" i="17"/>
  <c r="O46" i="3" l="1"/>
  <c r="H13" i="17"/>
  <c r="F6" i="17"/>
  <c r="H6" i="17"/>
  <c r="F9" i="17"/>
  <c r="H21" i="17"/>
  <c r="J21" i="17" s="1"/>
  <c r="F13" i="17"/>
  <c r="H11" i="17"/>
  <c r="J11" i="17" s="1"/>
  <c r="H9" i="17"/>
  <c r="J13" i="17"/>
  <c r="O47" i="3"/>
  <c r="M48" i="3"/>
  <c r="J9" i="17" l="1"/>
  <c r="J6" i="17"/>
  <c r="P46" i="3"/>
  <c r="N48" i="3"/>
  <c r="P47" i="3"/>
  <c r="Q47" i="3" l="1"/>
  <c r="O48" i="3"/>
  <c r="Q46" i="3"/>
  <c r="P48" i="3" l="1"/>
  <c r="R47" i="3"/>
  <c r="R46" i="3"/>
  <c r="S46" i="3" l="1"/>
  <c r="T46" i="3"/>
  <c r="S47" i="3"/>
  <c r="Q48" i="3"/>
  <c r="R48" i="3" l="1"/>
  <c r="T47" i="3"/>
  <c r="U46" i="3"/>
  <c r="V46" i="3"/>
  <c r="W46" i="3"/>
  <c r="X46" i="3" l="1"/>
  <c r="U47" i="3"/>
  <c r="S48" i="3"/>
  <c r="Y46" i="3"/>
  <c r="T48" i="3" l="1"/>
  <c r="V47" i="3"/>
  <c r="Z46" i="3"/>
  <c r="AA46" i="3" l="1"/>
  <c r="W47" i="3"/>
  <c r="U48" i="3"/>
  <c r="V48" i="3" l="1"/>
  <c r="W48" i="3"/>
  <c r="X47" i="3"/>
  <c r="AB46" i="3"/>
  <c r="AC46" i="3" l="1"/>
  <c r="AD46" i="3" s="1"/>
  <c r="Y47" i="3"/>
  <c r="Z47" i="3" s="1"/>
  <c r="AA47" i="3" s="1"/>
  <c r="X48" i="3"/>
  <c r="AB47" i="3" l="1"/>
  <c r="AC47" i="3"/>
  <c r="AE46" i="3"/>
  <c r="AF46" i="3"/>
  <c r="AG46" i="3" s="1"/>
  <c r="Y48" i="3"/>
  <c r="Z48" i="3" l="1"/>
  <c r="AD47" i="3"/>
  <c r="AA48" i="3" l="1"/>
  <c r="AE47" i="3"/>
  <c r="AF47" i="3"/>
  <c r="AG47" i="3" s="1"/>
  <c r="AB48" i="3" l="1"/>
  <c r="AC48" i="3"/>
  <c r="AD48" i="3" s="1"/>
  <c r="AE48" i="3" s="1"/>
  <c r="AF48" i="3" l="1"/>
  <c r="AG48" i="3" s="1"/>
</calcChain>
</file>

<file path=xl/sharedStrings.xml><?xml version="1.0" encoding="utf-8"?>
<sst xmlns="http://schemas.openxmlformats.org/spreadsheetml/2006/main" count="337" uniqueCount="179">
  <si>
    <t>Charges immobilisées</t>
  </si>
  <si>
    <t>Immobilisations incorporelles</t>
  </si>
  <si>
    <t>Immobilisations corporelles</t>
  </si>
  <si>
    <t>Immobilisations financières</t>
  </si>
  <si>
    <t>Stocks</t>
  </si>
  <si>
    <t>Créances et emplois assimilés</t>
  </si>
  <si>
    <t>Capital</t>
  </si>
  <si>
    <t>Report à nouveau</t>
  </si>
  <si>
    <t>Clients, avances reçues</t>
  </si>
  <si>
    <t>Fournisseurs d'exploitation</t>
  </si>
  <si>
    <t>Dettes fiscales</t>
  </si>
  <si>
    <t>Dettes sociales</t>
  </si>
  <si>
    <t>Autres dettes</t>
  </si>
  <si>
    <t>Achats de marchandises</t>
  </si>
  <si>
    <t>Transports</t>
  </si>
  <si>
    <t>Services extérieurs</t>
  </si>
  <si>
    <t>Impôts et taxes</t>
  </si>
  <si>
    <t>Autres charges</t>
  </si>
  <si>
    <t>Dotations aux amortissements et aux provisions</t>
  </si>
  <si>
    <t>Charges de personnel</t>
  </si>
  <si>
    <t>Production immobilisée</t>
  </si>
  <si>
    <t>Autres produits</t>
  </si>
  <si>
    <t>Reprises de provisions</t>
  </si>
  <si>
    <t>RESULTAT D'EXPLOITATION</t>
  </si>
  <si>
    <t>TOTAL ACTIF</t>
  </si>
  <si>
    <t>TOTAL PASSIF</t>
  </si>
  <si>
    <t>Actif circulant H.A.O</t>
  </si>
  <si>
    <t>Dettes circulantes et ressources assimilées H.A.O</t>
  </si>
  <si>
    <t>RN</t>
  </si>
  <si>
    <t>CA</t>
  </si>
  <si>
    <t>TA</t>
  </si>
  <si>
    <t>FP</t>
  </si>
  <si>
    <t>Marge de Profit (MP)</t>
  </si>
  <si>
    <t>%</t>
  </si>
  <si>
    <t>Rotation des actifs (RA)</t>
  </si>
  <si>
    <t>Levier Financier (LF)</t>
  </si>
  <si>
    <t>Retour sur Fonds Propres (RFP)</t>
  </si>
  <si>
    <t>EBITDA (EBE)</t>
  </si>
  <si>
    <t>Intérêts</t>
  </si>
  <si>
    <t>Couverture des intérêts</t>
  </si>
  <si>
    <t>% CA</t>
  </si>
  <si>
    <t>Dette financière</t>
  </si>
  <si>
    <t>Dette financière/EBE</t>
  </si>
  <si>
    <t>Trésorerie (Passif)</t>
  </si>
  <si>
    <t>Trésorerie (Actif)</t>
  </si>
  <si>
    <t>DETTE FINANCIERE NETTE</t>
  </si>
  <si>
    <t>Marge brute sur matières</t>
  </si>
  <si>
    <t>Vente de matières</t>
  </si>
  <si>
    <t>Coût des matières</t>
  </si>
  <si>
    <t>Chiffre d'affaires</t>
  </si>
  <si>
    <t>Résultat Net</t>
  </si>
  <si>
    <t>VALEUR AJOUTEE</t>
  </si>
  <si>
    <t>PRODUITS D'EXPLOITATION</t>
  </si>
  <si>
    <t>EXCEDENT BRUT D'EXPLOITATION (EBE)</t>
  </si>
  <si>
    <t>Résultat financier</t>
  </si>
  <si>
    <t>Impôt sur le résultat</t>
  </si>
  <si>
    <t>Chiffre d'affaires (CA)</t>
  </si>
  <si>
    <t>Résultat hors activités ordinaires (H.A.O)</t>
  </si>
  <si>
    <t>Trésorerie - Actif</t>
  </si>
  <si>
    <t>Dettes financières</t>
  </si>
  <si>
    <t>Trésorerie - Passif</t>
  </si>
  <si>
    <t>TAUX DE CROISSANCE - BILAN (en %)</t>
  </si>
  <si>
    <t>BILAN (en millions de FCFA)</t>
  </si>
  <si>
    <t>INFORMATIONS COMPLEMENTAIRES (en millions de FCFA)</t>
  </si>
  <si>
    <t>Rentabilité</t>
  </si>
  <si>
    <t>Liquidité</t>
  </si>
  <si>
    <t>Flexibilité financière</t>
  </si>
  <si>
    <t>Notes</t>
  </si>
  <si>
    <t>(2) Dette financière nette =  Dette financière + trésorerie passif - trésorerie actif</t>
  </si>
  <si>
    <t>CA = Chiffre d'affaires</t>
  </si>
  <si>
    <t>Rotation des stocks (en nombre de fois / an)</t>
  </si>
  <si>
    <t>Couverture des stocks (en jours d'achats)</t>
  </si>
  <si>
    <t>(3) Taux de TVA utilisé 20%</t>
  </si>
  <si>
    <t>Marge de profit (RN/CA) en %</t>
  </si>
  <si>
    <t>Rotation des actifs (CA/TA) en %</t>
  </si>
  <si>
    <t>Levier financier (TA/FP) en %</t>
  </si>
  <si>
    <t>Retour sur fonds propres (RN/FP) en %</t>
  </si>
  <si>
    <t>ROA (RN/TA) en %</t>
  </si>
  <si>
    <t>Charges d'exploitation/Produits d'exploitation en %</t>
  </si>
  <si>
    <t>Ratio de liquidité générale (AC/PC) en %</t>
  </si>
  <si>
    <t>Ratio de liquidité de l'actif (AC/TA) en %</t>
  </si>
  <si>
    <t>Couverture des charges d'intérêt (EBE/intérêts financiers)</t>
  </si>
  <si>
    <t>(1) FCF = CAF +/- Variation de BFR - Investissements, ce sont les flux opérationnel libres de tout engagement opérationnel</t>
  </si>
  <si>
    <t>RATIOS</t>
  </si>
  <si>
    <t>Impôts différés</t>
  </si>
  <si>
    <t>Part des minoritaires</t>
  </si>
  <si>
    <t>Charges immobiliséés</t>
  </si>
  <si>
    <t>Impôt différés</t>
  </si>
  <si>
    <t>Parts des minoritaires</t>
  </si>
  <si>
    <t>RESULTAT NET DE L'ENSEMBLE CONSOLIDE</t>
  </si>
  <si>
    <t>Parts de l'entreprise consolidante</t>
  </si>
  <si>
    <t>Primes et réserves consolidées</t>
  </si>
  <si>
    <t>Dette financière nette (2)</t>
  </si>
  <si>
    <r>
      <t xml:space="preserve">Délais clients (en jours de CA) </t>
    </r>
    <r>
      <rPr>
        <sz val="12"/>
        <color indexed="23"/>
        <rFont val="Garamond"/>
        <family val="1"/>
      </rPr>
      <t>(3)</t>
    </r>
  </si>
  <si>
    <r>
      <t xml:space="preserve">Délais fournisseurs (en jours de CA) </t>
    </r>
    <r>
      <rPr>
        <sz val="12"/>
        <color indexed="23"/>
        <rFont val="Garamond"/>
        <family val="1"/>
      </rPr>
      <t>(3)</t>
    </r>
  </si>
  <si>
    <t>Production stockée</t>
  </si>
  <si>
    <t>Résultat net (part du groupe)</t>
  </si>
  <si>
    <t>Variation de BFR</t>
  </si>
  <si>
    <t>Investissements</t>
  </si>
  <si>
    <t>Remboursements d'emprunts</t>
  </si>
  <si>
    <t>Nouveaux emprunts</t>
  </si>
  <si>
    <t>Augmentation de capital / Subvention</t>
  </si>
  <si>
    <t>Distribution de dividendes</t>
  </si>
  <si>
    <t>Variation de trésorerie</t>
  </si>
  <si>
    <t>Trésorerie nette d'ouverture</t>
  </si>
  <si>
    <t>N/A</t>
  </si>
  <si>
    <t>check tréso bilan</t>
  </si>
  <si>
    <t>Trésorerie nette de clôture</t>
  </si>
  <si>
    <t>COMPTE DE RESULTATS (en millions de FCFA)</t>
  </si>
  <si>
    <t>Quote-part des sociétés mises en équivalence</t>
  </si>
  <si>
    <t>Total des capitaux propres</t>
  </si>
  <si>
    <t>Capacité d'auto-financement globale (CAFG)</t>
  </si>
  <si>
    <t>TAUX DE CROISSANCE - COMPTE DE RESULTATS (en %)</t>
  </si>
  <si>
    <t>Résultat net part de l'entreprise consolidante</t>
  </si>
  <si>
    <t>Résultat net (part du Groupe)</t>
  </si>
  <si>
    <t>RESULTAT NET, PART DU GROUPE</t>
  </si>
  <si>
    <t>RESULTAT NET CONSOLIDE GLOBAL</t>
  </si>
  <si>
    <t>Gearing (Dettes financières+trésorerie passif)/FP en %</t>
  </si>
  <si>
    <t>(Dettes financières+trésorerie passif)/EBE en %</t>
  </si>
  <si>
    <t>CAF = Capacité d'auto-financement</t>
  </si>
  <si>
    <t>RN = Résultat net</t>
  </si>
  <si>
    <t>TA = Total actif</t>
  </si>
  <si>
    <t>FP = Fonds propres</t>
  </si>
  <si>
    <t>AC = Actif circulant</t>
  </si>
  <si>
    <t>PC = Passif circulant</t>
  </si>
  <si>
    <t>Score WARA</t>
  </si>
  <si>
    <t>Marge de profit</t>
  </si>
  <si>
    <t>Rotation des Actifs</t>
  </si>
  <si>
    <t>Rentabilité des fonds propres (ROE)</t>
  </si>
  <si>
    <t>Moy. 5 ans</t>
  </si>
  <si>
    <t>Rotation des actifs</t>
  </si>
  <si>
    <t>Rentabilité des Actifs (ROA)</t>
  </si>
  <si>
    <t>Capitaux propres</t>
  </si>
  <si>
    <t>Actifs liquides / Actif Total</t>
  </si>
  <si>
    <t>Actifs liquides / Ressources CT</t>
  </si>
  <si>
    <t>(Ressources LT + CP) / Actif immo</t>
  </si>
  <si>
    <t>Trésorerie Actif</t>
  </si>
  <si>
    <t>Trésorerie Passif</t>
  </si>
  <si>
    <t>Trésorerie nette</t>
  </si>
  <si>
    <t>Dettes financières à M/L terme</t>
  </si>
  <si>
    <t>Trésorerie-Passif</t>
  </si>
  <si>
    <t xml:space="preserve">Gearing </t>
  </si>
  <si>
    <t>CAFG</t>
  </si>
  <si>
    <t xml:space="preserve">  Solde</t>
  </si>
  <si>
    <t>(Dettes financières+trésorerie passif)/EBE</t>
  </si>
  <si>
    <t xml:space="preserve">EBE/intérêts </t>
  </si>
  <si>
    <t>Subventions d'investissement</t>
  </si>
  <si>
    <t>Actif</t>
  </si>
  <si>
    <t>Marge nette</t>
  </si>
  <si>
    <t>ROA</t>
  </si>
  <si>
    <t>ROE</t>
  </si>
  <si>
    <t>EBE/charges fi (x)</t>
  </si>
  <si>
    <t>CHIFFRES CLES</t>
  </si>
  <si>
    <t xml:space="preserve"> </t>
  </si>
  <si>
    <t>Trésorerie Nette</t>
  </si>
  <si>
    <t>Endettement net</t>
  </si>
  <si>
    <t>Gearing (WARA)</t>
  </si>
  <si>
    <t>variation</t>
  </si>
  <si>
    <t>Levier financier</t>
  </si>
  <si>
    <t>(RLT + FP) / Actif  Immobilisé en %</t>
  </si>
  <si>
    <t>Terminal A Conteneurs</t>
  </si>
  <si>
    <t>Terminal Roulier</t>
  </si>
  <si>
    <t>Terminal Vraquier</t>
  </si>
  <si>
    <t>Terminal Pétrolier</t>
  </si>
  <si>
    <t>Opérateur</t>
  </si>
  <si>
    <t>Infrastructures</t>
  </si>
  <si>
    <t>Durée de la concession</t>
  </si>
  <si>
    <t>Date de début de la concession</t>
  </si>
  <si>
    <t>Dubai Port World</t>
  </si>
  <si>
    <t>Bolloré</t>
  </si>
  <si>
    <t>Sea Invest</t>
  </si>
  <si>
    <t>25 ans</t>
  </si>
  <si>
    <t>29 ha, 715 m de quai, 13m de tirant d'eau</t>
  </si>
  <si>
    <t>8 ha, 700 m de quai, 10m de tirant d'eau</t>
  </si>
  <si>
    <t xml:space="preserve">16 ha, 475m de quai, 10 m de tirant d'eau </t>
  </si>
  <si>
    <t xml:space="preserve">1,8 ha, 709m de quai, 12m de tirant d'eau </t>
  </si>
  <si>
    <t>Terminal</t>
  </si>
  <si>
    <t>Levier Financier</t>
  </si>
  <si>
    <t>PORT AUTONOME DE DAKAR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</si>
</sst>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_-* #,##0.00\ _F_-;\-* #,##0.00\ _F_-;_-* &quot;-&quot;??\ _F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color indexed="23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sz val="12"/>
      <color theme="1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8"/>
      <name val="Arial"/>
      <family val="2"/>
    </font>
    <font>
      <sz val="12"/>
      <color theme="0"/>
      <name val="Garamond"/>
      <family val="1"/>
    </font>
    <font>
      <i/>
      <sz val="12"/>
      <color theme="0"/>
      <name val="Garamond"/>
      <family val="1"/>
    </font>
    <font>
      <sz val="11"/>
      <color theme="0"/>
      <name val="Calibri"/>
      <family val="2"/>
      <scheme val="minor"/>
    </font>
    <font>
      <b/>
      <sz val="12"/>
      <color rgb="FFC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</cellStyleXfs>
  <cellXfs count="225">
    <xf numFmtId="0" fontId="0" fillId="0" borderId="0" xfId="0"/>
    <xf numFmtId="0" fontId="7" fillId="0" borderId="0" xfId="0" applyFont="1"/>
    <xf numFmtId="0" fontId="9" fillId="0" borderId="0" xfId="0" applyFont="1"/>
    <xf numFmtId="3" fontId="9" fillId="0" borderId="0" xfId="0" applyNumberFormat="1" applyFont="1"/>
    <xf numFmtId="3" fontId="7" fillId="0" borderId="0" xfId="0" applyNumberFormat="1" applyFont="1"/>
    <xf numFmtId="0" fontId="9" fillId="0" borderId="1" xfId="0" applyFont="1" applyBorder="1"/>
    <xf numFmtId="3" fontId="9" fillId="0" borderId="1" xfId="0" applyNumberFormat="1" applyFont="1" applyBorder="1"/>
    <xf numFmtId="0" fontId="7" fillId="0" borderId="2" xfId="0" applyFont="1" applyBorder="1"/>
    <xf numFmtId="0" fontId="10" fillId="0" borderId="0" xfId="0" applyFont="1"/>
    <xf numFmtId="3" fontId="10" fillId="0" borderId="0" xfId="0" applyNumberFormat="1" applyFont="1"/>
    <xf numFmtId="4" fontId="9" fillId="0" borderId="0" xfId="0" applyNumberFormat="1" applyFont="1"/>
    <xf numFmtId="164" fontId="9" fillId="0" borderId="0" xfId="4" applyNumberFormat="1" applyFont="1"/>
    <xf numFmtId="4" fontId="7" fillId="0" borderId="0" xfId="0" applyNumberFormat="1" applyFont="1"/>
    <xf numFmtId="164" fontId="7" fillId="0" borderId="0" xfId="4" applyNumberFormat="1" applyFont="1"/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2" borderId="3" xfId="0" applyFont="1" applyFill="1" applyBorder="1"/>
    <xf numFmtId="14" fontId="13" fillId="2" borderId="1" xfId="0" applyNumberFormat="1" applyFont="1" applyFill="1" applyBorder="1"/>
    <xf numFmtId="0" fontId="14" fillId="0" borderId="0" xfId="0" applyFont="1"/>
    <xf numFmtId="0" fontId="11" fillId="0" borderId="5" xfId="0" applyFont="1" applyBorder="1"/>
    <xf numFmtId="3" fontId="11" fillId="0" borderId="0" xfId="0" applyNumberFormat="1" applyFont="1" applyBorder="1"/>
    <xf numFmtId="0" fontId="11" fillId="0" borderId="5" xfId="0" applyFont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3" fontId="14" fillId="3" borderId="7" xfId="0" applyNumberFormat="1" applyFont="1" applyFill="1" applyBorder="1"/>
    <xf numFmtId="3" fontId="14" fillId="3" borderId="0" xfId="0" applyNumberFormat="1" applyFont="1" applyFill="1" applyBorder="1"/>
    <xf numFmtId="0" fontId="14" fillId="3" borderId="3" xfId="0" applyFont="1" applyFill="1" applyBorder="1"/>
    <xf numFmtId="3" fontId="14" fillId="3" borderId="1" xfId="0" applyNumberFormat="1" applyFont="1" applyFill="1" applyBorder="1"/>
    <xf numFmtId="0" fontId="15" fillId="0" borderId="0" xfId="0" applyFont="1"/>
    <xf numFmtId="3" fontId="11" fillId="0" borderId="0" xfId="0" applyNumberFormat="1" applyFont="1" applyFill="1" applyBorder="1"/>
    <xf numFmtId="3" fontId="11" fillId="0" borderId="6" xfId="0" applyNumberFormat="1" applyFont="1" applyFill="1" applyBorder="1"/>
    <xf numFmtId="3" fontId="11" fillId="0" borderId="0" xfId="0" applyNumberFormat="1" applyFont="1"/>
    <xf numFmtId="0" fontId="11" fillId="0" borderId="0" xfId="0" applyFont="1" applyBorder="1"/>
    <xf numFmtId="0" fontId="14" fillId="3" borderId="9" xfId="0" applyFont="1" applyFill="1" applyBorder="1"/>
    <xf numFmtId="3" fontId="14" fillId="3" borderId="10" xfId="0" applyNumberFormat="1" applyFont="1" applyFill="1" applyBorder="1"/>
    <xf numFmtId="3" fontId="11" fillId="0" borderId="12" xfId="0" applyNumberFormat="1" applyFont="1" applyBorder="1"/>
    <xf numFmtId="0" fontId="4" fillId="3" borderId="13" xfId="0" applyFont="1" applyFill="1" applyBorder="1"/>
    <xf numFmtId="3" fontId="4" fillId="3" borderId="2" xfId="0" applyNumberFormat="1" applyFont="1" applyFill="1" applyBorder="1"/>
    <xf numFmtId="165" fontId="11" fillId="0" borderId="0" xfId="0" applyNumberFormat="1" applyFont="1" applyBorder="1"/>
    <xf numFmtId="165" fontId="14" fillId="3" borderId="0" xfId="0" applyNumberFormat="1" applyFont="1" applyFill="1" applyBorder="1"/>
    <xf numFmtId="165" fontId="14" fillId="3" borderId="1" xfId="0" applyNumberFormat="1" applyFont="1" applyFill="1" applyBorder="1"/>
    <xf numFmtId="0" fontId="11" fillId="0" borderId="5" xfId="0" applyFont="1" applyFill="1" applyBorder="1"/>
    <xf numFmtId="0" fontId="14" fillId="3" borderId="13" xfId="0" applyFont="1" applyFill="1" applyBorder="1"/>
    <xf numFmtId="165" fontId="14" fillId="3" borderId="2" xfId="0" applyNumberFormat="1" applyFont="1" applyFill="1" applyBorder="1"/>
    <xf numFmtId="0" fontId="14" fillId="3" borderId="9" xfId="0" applyFont="1" applyFill="1" applyBorder="1" applyAlignment="1">
      <alignment horizontal="left"/>
    </xf>
    <xf numFmtId="165" fontId="14" fillId="3" borderId="10" xfId="0" applyNumberFormat="1" applyFont="1" applyFill="1" applyBorder="1"/>
    <xf numFmtId="0" fontId="14" fillId="3" borderId="5" xfId="0" applyFont="1" applyFill="1" applyBorder="1"/>
    <xf numFmtId="0" fontId="11" fillId="0" borderId="13" xfId="0" applyFont="1" applyBorder="1"/>
    <xf numFmtId="165" fontId="11" fillId="0" borderId="2" xfId="0" applyNumberFormat="1" applyFont="1" applyBorder="1"/>
    <xf numFmtId="0" fontId="11" fillId="3" borderId="3" xfId="0" applyFont="1" applyFill="1" applyBorder="1"/>
    <xf numFmtId="0" fontId="11" fillId="3" borderId="1" xfId="0" applyFont="1" applyFill="1" applyBorder="1"/>
    <xf numFmtId="0" fontId="11" fillId="3" borderId="5" xfId="0" applyFont="1" applyFill="1" applyBorder="1"/>
    <xf numFmtId="0" fontId="11" fillId="3" borderId="0" xfId="0" applyFont="1" applyFill="1" applyBorder="1"/>
    <xf numFmtId="0" fontId="11" fillId="3" borderId="13" xfId="0" applyFont="1" applyFill="1" applyBorder="1"/>
    <xf numFmtId="0" fontId="11" fillId="3" borderId="2" xfId="0" applyFont="1" applyFill="1" applyBorder="1"/>
    <xf numFmtId="165" fontId="11" fillId="3" borderId="1" xfId="0" applyNumberFormat="1" applyFont="1" applyFill="1" applyBorder="1"/>
    <xf numFmtId="0" fontId="14" fillId="0" borderId="5" xfId="0" applyFont="1" applyBorder="1" applyAlignment="1">
      <alignment horizontal="left"/>
    </xf>
    <xf numFmtId="3" fontId="14" fillId="0" borderId="0" xfId="0" applyNumberFormat="1" applyFont="1" applyBorder="1"/>
    <xf numFmtId="3" fontId="14" fillId="3" borderId="2" xfId="0" applyNumberFormat="1" applyFont="1" applyFill="1" applyBorder="1"/>
    <xf numFmtId="3" fontId="11" fillId="0" borderId="14" xfId="0" applyNumberFormat="1" applyFont="1" applyBorder="1"/>
    <xf numFmtId="3" fontId="11" fillId="0" borderId="15" xfId="0" applyNumberFormat="1" applyFont="1" applyBorder="1"/>
    <xf numFmtId="3" fontId="14" fillId="0" borderId="14" xfId="0" applyNumberFormat="1" applyFont="1" applyBorder="1"/>
    <xf numFmtId="3" fontId="11" fillId="0" borderId="16" xfId="0" applyNumberFormat="1" applyFont="1" applyBorder="1"/>
    <xf numFmtId="3" fontId="11" fillId="0" borderId="12" xfId="0" applyNumberFormat="1" applyFont="1" applyFill="1" applyBorder="1"/>
    <xf numFmtId="3" fontId="11" fillId="0" borderId="14" xfId="0" applyNumberFormat="1" applyFont="1" applyFill="1" applyBorder="1"/>
    <xf numFmtId="3" fontId="11" fillId="0" borderId="15" xfId="0" applyNumberFormat="1" applyFont="1" applyFill="1" applyBorder="1"/>
    <xf numFmtId="2" fontId="7" fillId="0" borderId="0" xfId="4" applyNumberFormat="1" applyFont="1"/>
    <xf numFmtId="0" fontId="14" fillId="0" borderId="5" xfId="0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1" fillId="0" borderId="17" xfId="0" applyFont="1" applyBorder="1" applyAlignment="1">
      <alignment horizontal="left"/>
    </xf>
    <xf numFmtId="0" fontId="11" fillId="0" borderId="13" xfId="0" applyFont="1" applyFill="1" applyBorder="1"/>
    <xf numFmtId="0" fontId="14" fillId="5" borderId="3" xfId="0" applyFont="1" applyFill="1" applyBorder="1"/>
    <xf numFmtId="3" fontId="14" fillId="5" borderId="18" xfId="0" applyNumberFormat="1" applyFont="1" applyFill="1" applyBorder="1"/>
    <xf numFmtId="3" fontId="14" fillId="5" borderId="1" xfId="0" applyNumberFormat="1" applyFont="1" applyFill="1" applyBorder="1"/>
    <xf numFmtId="0" fontId="11" fillId="0" borderId="3" xfId="0" applyFont="1" applyBorder="1"/>
    <xf numFmtId="3" fontId="11" fillId="0" borderId="1" xfId="0" applyNumberFormat="1" applyFont="1" applyBorder="1"/>
    <xf numFmtId="0" fontId="14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1" xfId="0" applyNumberFormat="1" applyFont="1" applyBorder="1" applyAlignment="1">
      <alignment horizontal="center"/>
    </xf>
    <xf numFmtId="9" fontId="11" fillId="0" borderId="4" xfId="0" applyNumberFormat="1" applyFont="1" applyBorder="1" applyAlignment="1">
      <alignment horizontal="center"/>
    </xf>
    <xf numFmtId="9" fontId="11" fillId="0" borderId="1" xfId="4" applyFont="1" applyBorder="1" applyAlignment="1">
      <alignment horizontal="center"/>
    </xf>
    <xf numFmtId="9" fontId="11" fillId="0" borderId="4" xfId="4" applyFont="1" applyBorder="1" applyAlignment="1">
      <alignment horizontal="center"/>
    </xf>
    <xf numFmtId="9" fontId="11" fillId="0" borderId="2" xfId="4" applyFont="1" applyBorder="1" applyAlignment="1">
      <alignment horizontal="center"/>
    </xf>
    <xf numFmtId="9" fontId="11" fillId="0" borderId="8" xfId="4" applyFont="1" applyBorder="1" applyAlignment="1">
      <alignment horizontal="center"/>
    </xf>
    <xf numFmtId="9" fontId="14" fillId="0" borderId="21" xfId="0" applyNumberFormat="1" applyFont="1" applyBorder="1" applyAlignment="1">
      <alignment horizontal="center"/>
    </xf>
    <xf numFmtId="9" fontId="14" fillId="0" borderId="20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9" fontId="11" fillId="0" borderId="0" xfId="0" applyNumberFormat="1" applyFont="1" applyBorder="1" applyAlignment="1">
      <alignment horizontal="center"/>
    </xf>
    <xf numFmtId="9" fontId="11" fillId="0" borderId="6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4" fillId="0" borderId="9" xfId="0" applyFont="1" applyBorder="1"/>
    <xf numFmtId="3" fontId="14" fillId="0" borderId="1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9" fontId="14" fillId="0" borderId="11" xfId="0" applyNumberFormat="1" applyFont="1" applyBorder="1" applyAlignment="1">
      <alignment horizontal="center"/>
    </xf>
    <xf numFmtId="0" fontId="11" fillId="6" borderId="0" xfId="0" applyFont="1" applyFill="1"/>
    <xf numFmtId="0" fontId="14" fillId="0" borderId="3" xfId="0" applyFont="1" applyBorder="1" applyAlignment="1">
      <alignment horizontal="left" indent="1"/>
    </xf>
    <xf numFmtId="3" fontId="14" fillId="0" borderId="1" xfId="0" applyNumberFormat="1" applyFont="1" applyFill="1" applyBorder="1"/>
    <xf numFmtId="3" fontId="14" fillId="0" borderId="4" xfId="0" applyNumberFormat="1" applyFont="1" applyFill="1" applyBorder="1"/>
    <xf numFmtId="0" fontId="11" fillId="0" borderId="13" xfId="0" applyFont="1" applyBorder="1" applyAlignment="1">
      <alignment horizontal="left" indent="1"/>
    </xf>
    <xf numFmtId="3" fontId="11" fillId="0" borderId="2" xfId="0" applyNumberFormat="1" applyFont="1" applyFill="1" applyBorder="1"/>
    <xf numFmtId="3" fontId="11" fillId="0" borderId="8" xfId="0" applyNumberFormat="1" applyFont="1" applyFill="1" applyBorder="1"/>
    <xf numFmtId="0" fontId="14" fillId="0" borderId="9" xfId="0" quotePrefix="1" applyFont="1" applyBorder="1"/>
    <xf numFmtId="3" fontId="14" fillId="0" borderId="10" xfId="0" applyNumberFormat="1" applyFont="1" applyBorder="1"/>
    <xf numFmtId="3" fontId="14" fillId="0" borderId="11" xfId="0" applyNumberFormat="1" applyFont="1" applyBorder="1"/>
    <xf numFmtId="1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5" xfId="0" applyFont="1" applyBorder="1"/>
    <xf numFmtId="3" fontId="17" fillId="0" borderId="0" xfId="0" applyNumberFormat="1" applyFont="1" applyBorder="1"/>
    <xf numFmtId="3" fontId="18" fillId="0" borderId="0" xfId="0" applyNumberFormat="1" applyFont="1" applyFill="1" applyBorder="1" applyAlignment="1">
      <alignment horizontal="right"/>
    </xf>
    <xf numFmtId="3" fontId="14" fillId="0" borderId="12" xfId="0" applyNumberFormat="1" applyFont="1" applyFill="1" applyBorder="1"/>
    <xf numFmtId="3" fontId="14" fillId="0" borderId="22" xfId="0" applyNumberFormat="1" applyFont="1" applyFill="1" applyBorder="1"/>
    <xf numFmtId="165" fontId="11" fillId="0" borderId="12" xfId="0" applyNumberFormat="1" applyFont="1" applyBorder="1"/>
    <xf numFmtId="165" fontId="11" fillId="0" borderId="14" xfId="0" applyNumberFormat="1" applyFont="1" applyBorder="1" applyAlignment="1">
      <alignment horizontal="right"/>
    </xf>
    <xf numFmtId="165" fontId="11" fillId="0" borderId="14" xfId="0" applyNumberFormat="1" applyFont="1" applyBorder="1"/>
    <xf numFmtId="165" fontId="11" fillId="0" borderId="22" xfId="0" applyNumberFormat="1" applyFont="1" applyBorder="1"/>
    <xf numFmtId="165" fontId="11" fillId="0" borderId="15" xfId="0" applyNumberFormat="1" applyFont="1" applyBorder="1"/>
    <xf numFmtId="165" fontId="11" fillId="0" borderId="12" xfId="0" applyNumberFormat="1" applyFont="1" applyBorder="1" applyAlignment="1">
      <alignment horizontal="right"/>
    </xf>
    <xf numFmtId="165" fontId="11" fillId="0" borderId="18" xfId="0" applyNumberFormat="1" applyFont="1" applyBorder="1"/>
    <xf numFmtId="165" fontId="11" fillId="4" borderId="12" xfId="0" applyNumberFormat="1" applyFont="1" applyFill="1" applyBorder="1"/>
    <xf numFmtId="167" fontId="11" fillId="0" borderId="14" xfId="4" applyNumberFormat="1" applyFont="1" applyFill="1" applyBorder="1"/>
    <xf numFmtId="165" fontId="11" fillId="4" borderId="14" xfId="0" applyNumberFormat="1" applyFont="1" applyFill="1" applyBorder="1"/>
    <xf numFmtId="0" fontId="11" fillId="6" borderId="5" xfId="0" applyFont="1" applyFill="1" applyBorder="1" applyAlignment="1">
      <alignment horizontal="left"/>
    </xf>
    <xf numFmtId="165" fontId="11" fillId="6" borderId="0" xfId="0" applyNumberFormat="1" applyFont="1" applyFill="1" applyBorder="1"/>
    <xf numFmtId="165" fontId="11" fillId="4" borderId="15" xfId="0" applyNumberFormat="1" applyFont="1" applyFill="1" applyBorder="1"/>
    <xf numFmtId="0" fontId="11" fillId="0" borderId="23" xfId="0" applyFont="1" applyBorder="1" applyAlignment="1">
      <alignment horizontal="left" indent="1"/>
    </xf>
    <xf numFmtId="0" fontId="11" fillId="0" borderId="24" xfId="0" applyFont="1" applyBorder="1" applyAlignment="1">
      <alignment horizontal="left" indent="1"/>
    </xf>
    <xf numFmtId="3" fontId="11" fillId="0" borderId="22" xfId="0" applyNumberFormat="1" applyFont="1" applyBorder="1"/>
    <xf numFmtId="165" fontId="14" fillId="3" borderId="10" xfId="0" applyNumberFormat="1" applyFont="1" applyFill="1" applyBorder="1" applyAlignment="1">
      <alignment horizontal="right"/>
    </xf>
    <xf numFmtId="3" fontId="11" fillId="7" borderId="12" xfId="0" applyNumberFormat="1" applyFont="1" applyFill="1" applyBorder="1"/>
    <xf numFmtId="3" fontId="11" fillId="7" borderId="22" xfId="0" applyNumberFormat="1" applyFont="1" applyFill="1" applyBorder="1"/>
    <xf numFmtId="1" fontId="13" fillId="2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9" fontId="11" fillId="0" borderId="0" xfId="4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4" fontId="11" fillId="0" borderId="0" xfId="4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11" fillId="0" borderId="22" xfId="0" applyNumberFormat="1" applyFont="1" applyFill="1" applyBorder="1"/>
    <xf numFmtId="1" fontId="13" fillId="2" borderId="1" xfId="0" applyNumberFormat="1" applyFont="1" applyFill="1" applyBorder="1" applyAlignment="1">
      <alignment horizontal="right"/>
    </xf>
    <xf numFmtId="3" fontId="7" fillId="3" borderId="0" xfId="0" applyNumberFormat="1" applyFont="1" applyFill="1" applyBorder="1"/>
    <xf numFmtId="0" fontId="8" fillId="3" borderId="5" xfId="0" applyFont="1" applyFill="1" applyBorder="1"/>
    <xf numFmtId="164" fontId="8" fillId="3" borderId="0" xfId="4" applyNumberFormat="1" applyFont="1" applyFill="1" applyBorder="1"/>
    <xf numFmtId="0" fontId="8" fillId="5" borderId="5" xfId="0" applyFont="1" applyFill="1" applyBorder="1"/>
    <xf numFmtId="3" fontId="7" fillId="5" borderId="12" xfId="0" applyNumberFormat="1" applyFont="1" applyFill="1" applyBorder="1"/>
    <xf numFmtId="164" fontId="8" fillId="5" borderId="0" xfId="4" applyNumberFormat="1" applyFont="1" applyFill="1" applyBorder="1"/>
    <xf numFmtId="0" fontId="8" fillId="3" borderId="13" xfId="0" applyFont="1" applyFill="1" applyBorder="1"/>
    <xf numFmtId="164" fontId="8" fillId="3" borderId="2" xfId="4" applyNumberFormat="1" applyFont="1" applyFill="1" applyBorder="1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11" fillId="0" borderId="9" xfId="0" applyFont="1" applyBorder="1"/>
    <xf numFmtId="164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9" fontId="14" fillId="0" borderId="19" xfId="0" applyNumberFormat="1" applyFont="1" applyBorder="1" applyAlignment="1">
      <alignment horizontal="center"/>
    </xf>
    <xf numFmtId="9" fontId="11" fillId="0" borderId="10" xfId="4" applyFont="1" applyBorder="1" applyAlignment="1">
      <alignment horizontal="center"/>
    </xf>
    <xf numFmtId="9" fontId="11" fillId="0" borderId="11" xfId="4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1" fontId="13" fillId="2" borderId="4" xfId="0" applyNumberFormat="1" applyFont="1" applyFill="1" applyBorder="1" applyAlignment="1">
      <alignment horizontal="right"/>
    </xf>
    <xf numFmtId="3" fontId="11" fillId="0" borderId="6" xfId="0" applyNumberFormat="1" applyFont="1" applyBorder="1"/>
    <xf numFmtId="3" fontId="11" fillId="0" borderId="25" xfId="0" applyNumberFormat="1" applyFont="1" applyBorder="1"/>
    <xf numFmtId="3" fontId="11" fillId="0" borderId="26" xfId="0" applyNumberFormat="1" applyFont="1" applyBorder="1"/>
    <xf numFmtId="3" fontId="14" fillId="3" borderId="6" xfId="0" applyNumberFormat="1" applyFont="1" applyFill="1" applyBorder="1"/>
    <xf numFmtId="3" fontId="11" fillId="0" borderId="27" xfId="0" applyNumberFormat="1" applyFont="1" applyBorder="1"/>
    <xf numFmtId="164" fontId="8" fillId="3" borderId="6" xfId="4" applyNumberFormat="1" applyFont="1" applyFill="1" applyBorder="1"/>
    <xf numFmtId="3" fontId="14" fillId="3" borderId="4" xfId="0" applyNumberFormat="1" applyFont="1" applyFill="1" applyBorder="1"/>
    <xf numFmtId="3" fontId="11" fillId="0" borderId="27" xfId="0" applyNumberFormat="1" applyFont="1" applyFill="1" applyBorder="1"/>
    <xf numFmtId="3" fontId="14" fillId="5" borderId="4" xfId="0" applyNumberFormat="1" applyFont="1" applyFill="1" applyBorder="1"/>
    <xf numFmtId="164" fontId="8" fillId="5" borderId="6" xfId="4" applyNumberFormat="1" applyFont="1" applyFill="1" applyBorder="1"/>
    <xf numFmtId="3" fontId="11" fillId="0" borderId="28" xfId="0" applyNumberFormat="1" applyFont="1" applyFill="1" applyBorder="1"/>
    <xf numFmtId="164" fontId="8" fillId="3" borderId="8" xfId="4" applyNumberFormat="1" applyFont="1" applyFill="1" applyBorder="1"/>
    <xf numFmtId="3" fontId="14" fillId="3" borderId="8" xfId="0" applyNumberFormat="1" applyFont="1" applyFill="1" applyBorder="1"/>
    <xf numFmtId="3" fontId="14" fillId="0" borderId="25" xfId="0" applyNumberFormat="1" applyFont="1" applyBorder="1"/>
    <xf numFmtId="3" fontId="14" fillId="0" borderId="28" xfId="0" applyNumberFormat="1" applyFont="1" applyFill="1" applyBorder="1"/>
    <xf numFmtId="3" fontId="11" fillId="0" borderId="25" xfId="0" applyNumberFormat="1" applyFont="1" applyFill="1" applyBorder="1"/>
    <xf numFmtId="3" fontId="14" fillId="0" borderId="29" xfId="0" applyNumberFormat="1" applyFont="1" applyFill="1" applyBorder="1"/>
    <xf numFmtId="3" fontId="11" fillId="0" borderId="29" xfId="0" applyNumberFormat="1" applyFont="1" applyFill="1" applyBorder="1"/>
    <xf numFmtId="3" fontId="18" fillId="0" borderId="6" xfId="0" applyNumberFormat="1" applyFont="1" applyFill="1" applyBorder="1" applyAlignment="1">
      <alignment horizontal="right"/>
    </xf>
    <xf numFmtId="3" fontId="11" fillId="0" borderId="4" xfId="0" applyNumberFormat="1" applyFont="1" applyBorder="1"/>
    <xf numFmtId="165" fontId="11" fillId="4" borderId="28" xfId="0" applyNumberFormat="1" applyFont="1" applyFill="1" applyBorder="1"/>
    <xf numFmtId="165" fontId="11" fillId="4" borderId="25" xfId="0" applyNumberFormat="1" applyFont="1" applyFill="1" applyBorder="1"/>
    <xf numFmtId="165" fontId="11" fillId="0" borderId="25" xfId="0" applyNumberFormat="1" applyFont="1" applyBorder="1"/>
    <xf numFmtId="165" fontId="11" fillId="6" borderId="6" xfId="0" applyNumberFormat="1" applyFont="1" applyFill="1" applyBorder="1"/>
    <xf numFmtId="165" fontId="11" fillId="0" borderId="28" xfId="0" applyNumberFormat="1" applyFont="1" applyBorder="1"/>
    <xf numFmtId="165" fontId="11" fillId="0" borderId="29" xfId="0" applyNumberFormat="1" applyFont="1" applyBorder="1"/>
    <xf numFmtId="165" fontId="11" fillId="4" borderId="27" xfId="0" applyNumberFormat="1" applyFont="1" applyFill="1" applyBorder="1"/>
    <xf numFmtId="0" fontId="11" fillId="3" borderId="4" xfId="0" applyFont="1" applyFill="1" applyBorder="1"/>
    <xf numFmtId="0" fontId="11" fillId="3" borderId="6" xfId="0" applyFont="1" applyFill="1" applyBorder="1"/>
    <xf numFmtId="0" fontId="11" fillId="3" borderId="8" xfId="0" applyFont="1" applyFill="1" applyBorder="1"/>
    <xf numFmtId="165" fontId="11" fillId="0" borderId="25" xfId="0" applyNumberFormat="1" applyFont="1" applyBorder="1" applyAlignment="1">
      <alignment horizontal="right"/>
    </xf>
    <xf numFmtId="165" fontId="11" fillId="0" borderId="27" xfId="0" applyNumberFormat="1" applyFont="1" applyBorder="1"/>
    <xf numFmtId="165" fontId="14" fillId="3" borderId="11" xfId="0" applyNumberFormat="1" applyFont="1" applyFill="1" applyBorder="1"/>
    <xf numFmtId="165" fontId="11" fillId="0" borderId="30" xfId="0" applyNumberFormat="1" applyFont="1" applyBorder="1"/>
    <xf numFmtId="165" fontId="14" fillId="3" borderId="6" xfId="0" applyNumberFormat="1" applyFont="1" applyFill="1" applyBorder="1"/>
    <xf numFmtId="165" fontId="11" fillId="3" borderId="4" xfId="0" applyNumberFormat="1" applyFont="1" applyFill="1" applyBorder="1"/>
    <xf numFmtId="165" fontId="14" fillId="3" borderId="8" xfId="0" applyNumberFormat="1" applyFont="1" applyFill="1" applyBorder="1"/>
    <xf numFmtId="3" fontId="11" fillId="4" borderId="12" xfId="0" applyNumberFormat="1" applyFont="1" applyFill="1" applyBorder="1"/>
    <xf numFmtId="3" fontId="11" fillId="0" borderId="14" xfId="4" applyNumberFormat="1" applyFont="1" applyFill="1" applyBorder="1"/>
    <xf numFmtId="3" fontId="11" fillId="4" borderId="14" xfId="0" applyNumberFormat="1" applyFont="1" applyFill="1" applyBorder="1"/>
    <xf numFmtId="3" fontId="11" fillId="4" borderId="28" xfId="0" applyNumberFormat="1" applyFont="1" applyFill="1" applyBorder="1"/>
    <xf numFmtId="3" fontId="11" fillId="0" borderId="25" xfId="4" applyNumberFormat="1" applyFont="1" applyFill="1" applyBorder="1"/>
    <xf numFmtId="3" fontId="11" fillId="4" borderId="25" xfId="0" applyNumberFormat="1" applyFont="1" applyFill="1" applyBorder="1"/>
    <xf numFmtId="0" fontId="0" fillId="0" borderId="19" xfId="0" applyBorder="1" applyAlignment="1">
      <alignment horizontal="center"/>
    </xf>
    <xf numFmtId="0" fontId="20" fillId="0" borderId="0" xfId="0" applyFont="1"/>
  </cellXfs>
  <cellStyles count="8">
    <cellStyle name="Milliers 2" xfId="6" xr:uid="{9D3027ED-AE82-BA4C-8B95-983CDEAB80EC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5F1DA66C-9203-AA49-BB96-E5A0EB48648B}"/>
    <cellStyle name="Pourcentage" xfId="4" builtinId="5"/>
    <cellStyle name="Pourcentage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Ratio!$B$46</c:f>
              <c:strCache>
                <c:ptCount val="1"/>
                <c:pt idx="0">
                  <c:v>Chiffre d'affaires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Ratio!$C$45:$AG$45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Ratio!$C$46:$AG$46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8-2C45-B91B-CF0B9163BA31}"/>
            </c:ext>
          </c:extLst>
        </c:ser>
        <c:ser>
          <c:idx val="1"/>
          <c:order val="1"/>
          <c:tx>
            <c:strRef>
              <c:f>Ratio!$B$47</c:f>
              <c:strCache>
                <c:ptCount val="1"/>
                <c:pt idx="0">
                  <c:v>EBITDA (EBE)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Ratio!$C$45:$AG$45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Ratio!$C$47:$AG$47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8-2C45-B91B-CF0B9163BA31}"/>
            </c:ext>
          </c:extLst>
        </c:ser>
        <c:ser>
          <c:idx val="2"/>
          <c:order val="2"/>
          <c:tx>
            <c:strRef>
              <c:f>Ratio!$B$48</c:f>
              <c:strCache>
                <c:ptCount val="1"/>
                <c:pt idx="0">
                  <c:v>Résultat Net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Ratio!$C$45:$AG$45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Ratio!$C$48:$AG$48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8-2C45-B91B-CF0B9163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034832"/>
        <c:axId val="1"/>
      </c:lineChart>
      <c:catAx>
        <c:axId val="109103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91034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728665983086243"/>
          <c:y val="0.38490406506242769"/>
          <c:w val="8.3671991962179532E-2"/>
          <c:h val="0.190653415404753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48</xdr:row>
      <xdr:rowOff>101600</xdr:rowOff>
    </xdr:from>
    <xdr:to>
      <xdr:col>10</xdr:col>
      <xdr:colOff>431800</xdr:colOff>
      <xdr:row>67</xdr:row>
      <xdr:rowOff>12700</xdr:rowOff>
    </xdr:to>
    <xdr:graphicFrame macro="">
      <xdr:nvGraphicFramePr>
        <xdr:cNvPr id="2293" name="Graphique 1">
          <a:extLst>
            <a:ext uri="{FF2B5EF4-FFF2-40B4-BE49-F238E27FC236}">
              <a16:creationId xmlns:a16="http://schemas.microsoft.com/office/drawing/2014/main" id="{2F29E833-2627-404F-BDC2-50650138E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520700</xdr:colOff>
      <xdr:row>15</xdr:row>
      <xdr:rowOff>152400</xdr:rowOff>
    </xdr:from>
    <xdr:to>
      <xdr:col>23</xdr:col>
      <xdr:colOff>228600</xdr:colOff>
      <xdr:row>25</xdr:row>
      <xdr:rowOff>25400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C3CCC4C-335B-9040-8FE7-C4B71A9F4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7200" y="2794000"/>
          <a:ext cx="7962900" cy="1905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2</xdr:row>
      <xdr:rowOff>139700</xdr:rowOff>
    </xdr:from>
    <xdr:to>
      <xdr:col>23</xdr:col>
      <xdr:colOff>88900</xdr:colOff>
      <xdr:row>13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027A442-B64D-0841-B4A3-63A57E8BA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1200" y="546100"/>
          <a:ext cx="7962900" cy="2247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Hamza%2020.08.2019/WARA/2019/CBI%20CI/production%20analytique/post%20revue%20boss/B12-CBI%20CI%20Spreads%20au%2031-12-2018%20-%20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H52"/>
  <sheetViews>
    <sheetView zoomScale="90" zoomScaleNormal="9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baseColWidth="10" defaultColWidth="11.42578125" defaultRowHeight="15" x14ac:dyDescent="0.25"/>
  <cols>
    <col min="1" max="1" width="2.7109375" style="2" customWidth="1"/>
    <col min="2" max="2" width="28.7109375" style="2" bestFit="1" customWidth="1"/>
    <col min="3" max="34" width="16.7109375" style="2" customWidth="1"/>
    <col min="35" max="16384" width="11.42578125" style="2"/>
  </cols>
  <sheetData>
    <row r="2" spans="2:8" s="1" customFormat="1" x14ac:dyDescent="0.25">
      <c r="C2" s="1">
        <v>2013</v>
      </c>
      <c r="D2" s="7">
        <v>2014</v>
      </c>
      <c r="E2" s="7">
        <v>2015</v>
      </c>
      <c r="F2" s="7">
        <v>2016</v>
      </c>
      <c r="G2" s="7">
        <v>2017</v>
      </c>
      <c r="H2" s="7">
        <v>2018</v>
      </c>
    </row>
    <row r="3" spans="2:8" x14ac:dyDescent="0.25">
      <c r="B3" s="5"/>
      <c r="C3" s="6"/>
      <c r="D3" s="6"/>
    </row>
    <row r="4" spans="2:8" s="8" customFormat="1" x14ac:dyDescent="0.25">
      <c r="B4" s="8" t="s">
        <v>28</v>
      </c>
      <c r="C4" s="9" t="e">
        <f>#REF!</f>
        <v>#REF!</v>
      </c>
      <c r="D4" s="9" t="e">
        <f>#REF!</f>
        <v>#REF!</v>
      </c>
      <c r="E4" s="9" t="e">
        <f>#REF!</f>
        <v>#REF!</v>
      </c>
      <c r="F4" s="9" t="e">
        <f>#REF!</f>
        <v>#REF!</v>
      </c>
      <c r="G4" s="9" t="e">
        <f>#REF!</f>
        <v>#REF!</v>
      </c>
      <c r="H4" s="9" t="e">
        <f>#REF!</f>
        <v>#REF!</v>
      </c>
    </row>
    <row r="5" spans="2:8" s="8" customFormat="1" x14ac:dyDescent="0.25">
      <c r="B5" s="8" t="s">
        <v>29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</row>
    <row r="6" spans="2:8" s="8" customFormat="1" x14ac:dyDescent="0.25">
      <c r="B6" s="8" t="s">
        <v>30</v>
      </c>
      <c r="C6" s="9" t="e">
        <f>#REF!</f>
        <v>#REF!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</row>
    <row r="7" spans="2:8" s="8" customFormat="1" x14ac:dyDescent="0.25">
      <c r="B7" s="8" t="s">
        <v>31</v>
      </c>
      <c r="C7" s="9" t="e">
        <f>#REF!</f>
        <v>#REF!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</row>
    <row r="8" spans="2:8" x14ac:dyDescent="0.25">
      <c r="C8" s="3"/>
      <c r="D8" s="3"/>
      <c r="E8" s="3"/>
      <c r="F8" s="3"/>
    </row>
    <row r="9" spans="2:8" x14ac:dyDescent="0.25">
      <c r="C9" s="3"/>
      <c r="D9" s="3"/>
      <c r="E9" s="3"/>
      <c r="F9" s="3"/>
    </row>
    <row r="10" spans="2:8" x14ac:dyDescent="0.25">
      <c r="B10" s="2" t="s">
        <v>32</v>
      </c>
      <c r="C10" s="10" t="e">
        <f t="shared" ref="C10:H10" si="0">C4/C5</f>
        <v>#REF!</v>
      </c>
      <c r="D10" s="10" t="e">
        <f t="shared" si="0"/>
        <v>#REF!</v>
      </c>
      <c r="E10" s="10" t="e">
        <f t="shared" si="0"/>
        <v>#REF!</v>
      </c>
      <c r="F10" s="10" t="e">
        <f t="shared" si="0"/>
        <v>#REF!</v>
      </c>
      <c r="G10" s="10" t="e">
        <f t="shared" si="0"/>
        <v>#REF!</v>
      </c>
      <c r="H10" s="10" t="e">
        <f t="shared" si="0"/>
        <v>#REF!</v>
      </c>
    </row>
    <row r="11" spans="2:8" x14ac:dyDescent="0.25">
      <c r="B11" s="2" t="s">
        <v>33</v>
      </c>
      <c r="C11" s="11" t="e">
        <f t="shared" ref="C11:H11" si="1">C10</f>
        <v>#REF!</v>
      </c>
      <c r="D11" s="11" t="e">
        <f t="shared" si="1"/>
        <v>#REF!</v>
      </c>
      <c r="E11" s="11" t="e">
        <f t="shared" si="1"/>
        <v>#REF!</v>
      </c>
      <c r="F11" s="11" t="e">
        <f t="shared" si="1"/>
        <v>#REF!</v>
      </c>
      <c r="G11" s="11" t="e">
        <f t="shared" si="1"/>
        <v>#REF!</v>
      </c>
      <c r="H11" s="11" t="e">
        <f t="shared" si="1"/>
        <v>#REF!</v>
      </c>
    </row>
    <row r="12" spans="2:8" x14ac:dyDescent="0.25">
      <c r="C12" s="3"/>
      <c r="D12" s="3"/>
      <c r="E12" s="3"/>
      <c r="F12" s="3"/>
    </row>
    <row r="13" spans="2:8" x14ac:dyDescent="0.25">
      <c r="B13" s="2" t="s">
        <v>34</v>
      </c>
      <c r="C13" s="10" t="e">
        <f t="shared" ref="C13:H13" si="2">C5/C6</f>
        <v>#REF!</v>
      </c>
      <c r="D13" s="10" t="e">
        <f t="shared" si="2"/>
        <v>#REF!</v>
      </c>
      <c r="E13" s="10" t="e">
        <f t="shared" si="2"/>
        <v>#REF!</v>
      </c>
      <c r="F13" s="10" t="e">
        <f t="shared" si="2"/>
        <v>#REF!</v>
      </c>
      <c r="G13" s="10" t="e">
        <f t="shared" si="2"/>
        <v>#REF!</v>
      </c>
      <c r="H13" s="10" t="e">
        <f t="shared" si="2"/>
        <v>#REF!</v>
      </c>
    </row>
    <row r="14" spans="2:8" x14ac:dyDescent="0.25">
      <c r="C14" s="3"/>
      <c r="D14" s="3"/>
      <c r="E14" s="3"/>
      <c r="F14" s="3"/>
      <c r="G14" s="3"/>
      <c r="H14" s="3"/>
    </row>
    <row r="15" spans="2:8" x14ac:dyDescent="0.25">
      <c r="C15" s="3"/>
      <c r="D15" s="3"/>
      <c r="E15" s="3"/>
      <c r="F15" s="3"/>
      <c r="G15" s="3"/>
      <c r="H15" s="3"/>
    </row>
    <row r="16" spans="2:8" x14ac:dyDescent="0.25">
      <c r="B16" s="2" t="s">
        <v>35</v>
      </c>
      <c r="C16" s="10" t="e">
        <f t="shared" ref="C16:H16" si="3">C6/C7</f>
        <v>#REF!</v>
      </c>
      <c r="D16" s="10" t="e">
        <f t="shared" si="3"/>
        <v>#REF!</v>
      </c>
      <c r="E16" s="10" t="e">
        <f t="shared" si="3"/>
        <v>#REF!</v>
      </c>
      <c r="F16" s="10" t="e">
        <f t="shared" si="3"/>
        <v>#REF!</v>
      </c>
      <c r="G16" s="10" t="e">
        <f t="shared" si="3"/>
        <v>#REF!</v>
      </c>
      <c r="H16" s="10" t="e">
        <f t="shared" si="3"/>
        <v>#REF!</v>
      </c>
    </row>
    <row r="17" spans="2:8" x14ac:dyDescent="0.25">
      <c r="C17" s="3"/>
      <c r="D17" s="3"/>
      <c r="E17" s="3"/>
      <c r="F17" s="3"/>
      <c r="G17" s="3"/>
      <c r="H17" s="3"/>
    </row>
    <row r="18" spans="2:8" x14ac:dyDescent="0.25">
      <c r="C18" s="3"/>
      <c r="D18" s="3"/>
      <c r="E18" s="3"/>
      <c r="F18" s="3"/>
      <c r="G18" s="3"/>
      <c r="H18" s="3"/>
    </row>
    <row r="19" spans="2:8" s="1" customFormat="1" x14ac:dyDescent="0.25">
      <c r="B19" s="1" t="s">
        <v>36</v>
      </c>
      <c r="C19" s="12" t="e">
        <f t="shared" ref="C19:H19" si="4">C16*C13*C10</f>
        <v>#REF!</v>
      </c>
      <c r="D19" s="12" t="e">
        <f t="shared" si="4"/>
        <v>#REF!</v>
      </c>
      <c r="E19" s="12" t="e">
        <f t="shared" si="4"/>
        <v>#REF!</v>
      </c>
      <c r="F19" s="12" t="e">
        <f t="shared" si="4"/>
        <v>#REF!</v>
      </c>
      <c r="G19" s="12" t="e">
        <f t="shared" si="4"/>
        <v>#REF!</v>
      </c>
      <c r="H19" s="12" t="e">
        <f t="shared" si="4"/>
        <v>#REF!</v>
      </c>
    </row>
    <row r="20" spans="2:8" s="1" customFormat="1" x14ac:dyDescent="0.25">
      <c r="B20" s="1" t="s">
        <v>33</v>
      </c>
      <c r="C20" s="13" t="e">
        <f t="shared" ref="C20:H20" si="5">C19</f>
        <v>#REF!</v>
      </c>
      <c r="D20" s="13" t="e">
        <f t="shared" si="5"/>
        <v>#REF!</v>
      </c>
      <c r="E20" s="13" t="e">
        <f t="shared" si="5"/>
        <v>#REF!</v>
      </c>
      <c r="F20" s="13" t="e">
        <f t="shared" si="5"/>
        <v>#REF!</v>
      </c>
      <c r="G20" s="13" t="e">
        <f t="shared" si="5"/>
        <v>#REF!</v>
      </c>
      <c r="H20" s="13" t="e">
        <f t="shared" si="5"/>
        <v>#REF!</v>
      </c>
    </row>
    <row r="21" spans="2:8" x14ac:dyDescent="0.25">
      <c r="C21" s="3"/>
      <c r="D21" s="3"/>
    </row>
    <row r="22" spans="2:8" x14ac:dyDescent="0.25">
      <c r="C22" s="3"/>
      <c r="D22" s="3"/>
    </row>
    <row r="23" spans="2:8" x14ac:dyDescent="0.25">
      <c r="C23" s="3"/>
      <c r="D23" s="3"/>
    </row>
    <row r="24" spans="2:8" x14ac:dyDescent="0.25">
      <c r="C24" s="3"/>
      <c r="D24" s="3"/>
    </row>
    <row r="25" spans="2:8" s="8" customFormat="1" x14ac:dyDescent="0.25">
      <c r="B25" s="8" t="s">
        <v>37</v>
      </c>
      <c r="C25" s="9" t="e">
        <f>#REF!</f>
        <v>#REF!</v>
      </c>
      <c r="D25" s="9" t="e">
        <f>#REF!</f>
        <v>#REF!</v>
      </c>
      <c r="E25" s="9" t="e">
        <f>#REF!</f>
        <v>#REF!</v>
      </c>
      <c r="F25" s="9" t="e">
        <f>#REF!</f>
        <v>#REF!</v>
      </c>
      <c r="G25" s="9" t="e">
        <f>#REF!</f>
        <v>#REF!</v>
      </c>
      <c r="H25" s="9" t="e">
        <f>#REF!</f>
        <v>#REF!</v>
      </c>
    </row>
    <row r="26" spans="2:8" s="8" customFormat="1" x14ac:dyDescent="0.25">
      <c r="B26" s="8" t="s">
        <v>38</v>
      </c>
      <c r="C26" s="9" t="e">
        <f>#REF!</f>
        <v>#REF!</v>
      </c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</row>
    <row r="27" spans="2:8" s="8" customFormat="1" x14ac:dyDescent="0.25">
      <c r="B27" s="8" t="s">
        <v>41</v>
      </c>
      <c r="C27" s="9" t="e">
        <f>#REF!</f>
        <v>#REF!</v>
      </c>
      <c r="D27" s="9" t="e">
        <f>#REF!</f>
        <v>#REF!</v>
      </c>
      <c r="E27" s="9" t="e">
        <f>#REF!</f>
        <v>#REF!</v>
      </c>
      <c r="F27" s="9" t="e">
        <f>#REF!</f>
        <v>#REF!</v>
      </c>
      <c r="G27" s="9" t="e">
        <f>#REF!</f>
        <v>#REF!</v>
      </c>
      <c r="H27" s="9" t="e">
        <f>#REF!</f>
        <v>#REF!</v>
      </c>
    </row>
    <row r="28" spans="2:8" x14ac:dyDescent="0.25">
      <c r="C28" s="3"/>
      <c r="D28" s="3"/>
      <c r="E28" s="3"/>
      <c r="F28" s="3"/>
      <c r="G28" s="3"/>
      <c r="H28" s="3"/>
    </row>
    <row r="29" spans="2:8" s="1" customFormat="1" x14ac:dyDescent="0.25">
      <c r="B29" s="1" t="s">
        <v>39</v>
      </c>
      <c r="C29" s="4" t="e">
        <f t="shared" ref="C29:H29" si="6">C25/C26</f>
        <v>#REF!</v>
      </c>
      <c r="D29" s="4" t="e">
        <f t="shared" si="6"/>
        <v>#REF!</v>
      </c>
      <c r="E29" s="4" t="e">
        <f t="shared" si="6"/>
        <v>#REF!</v>
      </c>
      <c r="F29" s="4" t="e">
        <f t="shared" si="6"/>
        <v>#REF!</v>
      </c>
      <c r="G29" s="4" t="e">
        <f t="shared" si="6"/>
        <v>#REF!</v>
      </c>
      <c r="H29" s="4" t="e">
        <f t="shared" si="6"/>
        <v>#REF!</v>
      </c>
    </row>
    <row r="30" spans="2:8" s="1" customFormat="1" x14ac:dyDescent="0.25">
      <c r="B30" s="1" t="s">
        <v>42</v>
      </c>
      <c r="C30" s="67" t="e">
        <f t="shared" ref="C30:H30" si="7">C27/C25</f>
        <v>#REF!</v>
      </c>
      <c r="D30" s="67" t="e">
        <f t="shared" si="7"/>
        <v>#REF!</v>
      </c>
      <c r="E30" s="67" t="e">
        <f t="shared" si="7"/>
        <v>#REF!</v>
      </c>
      <c r="F30" s="67" t="e">
        <f t="shared" si="7"/>
        <v>#REF!</v>
      </c>
      <c r="G30" s="67" t="e">
        <f t="shared" si="7"/>
        <v>#REF!</v>
      </c>
      <c r="H30" s="67" t="e">
        <f t="shared" si="7"/>
        <v>#REF!</v>
      </c>
    </row>
    <row r="31" spans="2:8" x14ac:dyDescent="0.25">
      <c r="C31" s="3"/>
      <c r="D31" s="3"/>
    </row>
    <row r="32" spans="2:8" x14ac:dyDescent="0.25">
      <c r="C32" s="3"/>
      <c r="D32" s="3"/>
    </row>
    <row r="33" spans="2:33" x14ac:dyDescent="0.25">
      <c r="B33" s="14" t="s">
        <v>41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</row>
    <row r="34" spans="2:33" x14ac:dyDescent="0.25">
      <c r="B34" s="14" t="s">
        <v>43</v>
      </c>
      <c r="C34" s="3" t="e">
        <f>#REF!</f>
        <v>#REF!</v>
      </c>
      <c r="D34" s="3" t="e">
        <f>#REF!</f>
        <v>#REF!</v>
      </c>
      <c r="E34" s="3" t="e">
        <f>#REF!</f>
        <v>#REF!</v>
      </c>
      <c r="F34" s="3" t="e">
        <f>#REF!</f>
        <v>#REF!</v>
      </c>
      <c r="G34" s="3" t="e">
        <f>#REF!</f>
        <v>#REF!</v>
      </c>
      <c r="H34" s="3" t="e">
        <f>#REF!</f>
        <v>#REF!</v>
      </c>
    </row>
    <row r="35" spans="2:33" x14ac:dyDescent="0.25">
      <c r="B35" s="14" t="s">
        <v>44</v>
      </c>
      <c r="C35" s="3" t="e">
        <f>-#REF!</f>
        <v>#REF!</v>
      </c>
      <c r="D35" s="3" t="e">
        <f>-#REF!</f>
        <v>#REF!</v>
      </c>
      <c r="E35" s="3" t="e">
        <f>-#REF!</f>
        <v>#REF!</v>
      </c>
      <c r="F35" s="3" t="e">
        <f>-#REF!</f>
        <v>#REF!</v>
      </c>
      <c r="G35" s="3" t="e">
        <f>-#REF!</f>
        <v>#REF!</v>
      </c>
      <c r="H35" s="3" t="e">
        <f>-#REF!</f>
        <v>#REF!</v>
      </c>
    </row>
    <row r="36" spans="2:33" s="1" customFormat="1" x14ac:dyDescent="0.25">
      <c r="B36" s="1" t="s">
        <v>45</v>
      </c>
      <c r="C36" s="4" t="e">
        <f t="shared" ref="C36:H36" si="8">SUM(C33:C35)</f>
        <v>#REF!</v>
      </c>
      <c r="D36" s="4" t="e">
        <f t="shared" si="8"/>
        <v>#REF!</v>
      </c>
      <c r="E36" s="4" t="e">
        <f t="shared" si="8"/>
        <v>#REF!</v>
      </c>
      <c r="F36" s="4" t="e">
        <f t="shared" si="8"/>
        <v>#REF!</v>
      </c>
      <c r="G36" s="4" t="e">
        <f t="shared" si="8"/>
        <v>#REF!</v>
      </c>
      <c r="H36" s="4" t="e">
        <f t="shared" si="8"/>
        <v>#REF!</v>
      </c>
    </row>
    <row r="38" spans="2:33" x14ac:dyDescent="0.25">
      <c r="B38" s="14"/>
      <c r="C38" s="3"/>
      <c r="D38" s="3"/>
    </row>
    <row r="39" spans="2:33" x14ac:dyDescent="0.25">
      <c r="B39" s="14" t="s">
        <v>47</v>
      </c>
      <c r="C39" s="3" t="e">
        <f>#REF!+#REF!+#REF!+#REF!</f>
        <v>#REF!</v>
      </c>
      <c r="D39" s="3" t="e">
        <f>#REF!+#REF!+#REF!+#REF!</f>
        <v>#REF!</v>
      </c>
      <c r="E39" s="3" t="e">
        <f>#REF!+#REF!+#REF!+#REF!</f>
        <v>#REF!</v>
      </c>
      <c r="F39" s="3" t="e">
        <f>#REF!+#REF!+#REF!+#REF!</f>
        <v>#REF!</v>
      </c>
      <c r="G39" s="3" t="e">
        <f>#REF!+#REF!+#REF!+#REF!</f>
        <v>#REF!</v>
      </c>
      <c r="H39" s="3" t="e">
        <f>#REF!+#REF!+#REF!+#REF!</f>
        <v>#REF!</v>
      </c>
    </row>
    <row r="40" spans="2:33" x14ac:dyDescent="0.25">
      <c r="B40" s="14" t="s">
        <v>48</v>
      </c>
      <c r="C40" s="3" t="e">
        <f>-(#REF!+#REF!)</f>
        <v>#REF!</v>
      </c>
      <c r="D40" s="3" t="e">
        <f>-(#REF!+#REF!)</f>
        <v>#REF!</v>
      </c>
      <c r="E40" s="3" t="e">
        <f>-(#REF!+#REF!)</f>
        <v>#REF!</v>
      </c>
      <c r="F40" s="3" t="e">
        <f>-(#REF!+#REF!)</f>
        <v>#REF!</v>
      </c>
      <c r="G40" s="3" t="e">
        <f>-(#REF!+#REF!)</f>
        <v>#REF!</v>
      </c>
      <c r="H40" s="3" t="e">
        <f>-(#REF!+#REF!)</f>
        <v>#REF!</v>
      </c>
    </row>
    <row r="41" spans="2:33" s="1" customFormat="1" x14ac:dyDescent="0.25">
      <c r="B41" s="15" t="s">
        <v>46</v>
      </c>
      <c r="C41" s="4" t="e">
        <f t="shared" ref="C41:H41" si="9">C39+C40</f>
        <v>#REF!</v>
      </c>
      <c r="D41" s="4" t="e">
        <f t="shared" si="9"/>
        <v>#REF!</v>
      </c>
      <c r="E41" s="4" t="e">
        <f t="shared" si="9"/>
        <v>#REF!</v>
      </c>
      <c r="F41" s="4" t="e">
        <f t="shared" si="9"/>
        <v>#REF!</v>
      </c>
      <c r="G41" s="4" t="e">
        <f t="shared" si="9"/>
        <v>#REF!</v>
      </c>
      <c r="H41" s="4" t="e">
        <f t="shared" si="9"/>
        <v>#REF!</v>
      </c>
    </row>
    <row r="42" spans="2:33" x14ac:dyDescent="0.25">
      <c r="B42" s="16" t="s">
        <v>33</v>
      </c>
      <c r="C42" s="11" t="e">
        <f t="shared" ref="C42:H42" si="10">C41/C39</f>
        <v>#REF!</v>
      </c>
      <c r="D42" s="11" t="e">
        <f t="shared" si="10"/>
        <v>#REF!</v>
      </c>
      <c r="E42" s="11" t="e">
        <f t="shared" si="10"/>
        <v>#REF!</v>
      </c>
      <c r="F42" s="11" t="e">
        <f t="shared" si="10"/>
        <v>#REF!</v>
      </c>
      <c r="G42" s="11" t="e">
        <f t="shared" si="10"/>
        <v>#REF!</v>
      </c>
      <c r="H42" s="11" t="e">
        <f t="shared" si="10"/>
        <v>#REF!</v>
      </c>
    </row>
    <row r="45" spans="2:33" x14ac:dyDescent="0.25">
      <c r="C45" s="2">
        <v>2013</v>
      </c>
      <c r="D45" s="2">
        <v>2014</v>
      </c>
      <c r="E45" s="2">
        <v>2015</v>
      </c>
      <c r="F45" s="2">
        <v>2016</v>
      </c>
      <c r="G45" s="2">
        <v>2017</v>
      </c>
      <c r="H45" s="2">
        <v>2018</v>
      </c>
      <c r="I45" s="2">
        <v>2019</v>
      </c>
      <c r="J45" s="2">
        <v>2020</v>
      </c>
      <c r="K45" s="2">
        <v>2021</v>
      </c>
      <c r="L45" s="2">
        <v>2022</v>
      </c>
      <c r="M45" s="2">
        <v>2023</v>
      </c>
      <c r="N45" s="2">
        <v>2024</v>
      </c>
      <c r="O45" s="2">
        <v>2025</v>
      </c>
      <c r="P45" s="2">
        <v>2026</v>
      </c>
      <c r="Q45" s="2">
        <v>2027</v>
      </c>
      <c r="R45" s="2">
        <v>2028</v>
      </c>
      <c r="S45" s="2">
        <v>2029</v>
      </c>
      <c r="T45" s="2">
        <v>2030</v>
      </c>
      <c r="U45" s="2">
        <v>2031</v>
      </c>
      <c r="V45" s="2">
        <v>2032</v>
      </c>
      <c r="W45" s="2">
        <v>2033</v>
      </c>
      <c r="X45" s="2">
        <v>2034</v>
      </c>
      <c r="Y45" s="2">
        <v>2035</v>
      </c>
      <c r="Z45" s="2">
        <v>2036</v>
      </c>
      <c r="AA45" s="2">
        <v>2037</v>
      </c>
      <c r="AB45" s="2">
        <v>2038</v>
      </c>
      <c r="AC45" s="2">
        <v>2039</v>
      </c>
      <c r="AD45" s="2">
        <v>2040</v>
      </c>
      <c r="AE45" s="2">
        <v>2041</v>
      </c>
      <c r="AF45" s="2">
        <v>2042</v>
      </c>
      <c r="AG45" s="2">
        <v>2043</v>
      </c>
    </row>
    <row r="46" spans="2:33" x14ac:dyDescent="0.25">
      <c r="B46" s="16" t="s">
        <v>49</v>
      </c>
      <c r="C46" s="3" t="e">
        <f>#REF!</f>
        <v>#REF!</v>
      </c>
      <c r="D46" s="3" t="e">
        <f>#REF!</f>
        <v>#REF!</v>
      </c>
      <c r="E46" s="3" t="e">
        <f>#REF!</f>
        <v>#REF!</v>
      </c>
      <c r="F46" s="3" t="e">
        <f>#REF!</f>
        <v>#REF!</v>
      </c>
      <c r="G46" s="3" t="e">
        <f>AVERAGE(C46:F46)</f>
        <v>#REF!</v>
      </c>
      <c r="H46" s="3" t="e">
        <f>AVERAGE(C46:G46)</f>
        <v>#REF!</v>
      </c>
      <c r="I46" s="3" t="e">
        <f>AVERAGE(C46:H46)</f>
        <v>#REF!</v>
      </c>
      <c r="J46" s="3" t="e">
        <f>AVERAGE(C46:I46)</f>
        <v>#REF!</v>
      </c>
      <c r="K46" s="3" t="e">
        <f>AVERAGE(C46:J46)</f>
        <v>#REF!</v>
      </c>
      <c r="L46" s="3" t="e">
        <f t="shared" ref="L46:AG46" si="11">AVERAGE(C46:K46)</f>
        <v>#REF!</v>
      </c>
      <c r="M46" s="3" t="e">
        <f t="shared" si="11"/>
        <v>#REF!</v>
      </c>
      <c r="N46" s="3" t="e">
        <f t="shared" si="11"/>
        <v>#REF!</v>
      </c>
      <c r="O46" s="3" t="e">
        <f t="shared" si="11"/>
        <v>#REF!</v>
      </c>
      <c r="P46" s="3" t="e">
        <f t="shared" si="11"/>
        <v>#REF!</v>
      </c>
      <c r="Q46" s="3" t="e">
        <f t="shared" si="11"/>
        <v>#REF!</v>
      </c>
      <c r="R46" s="3" t="e">
        <f t="shared" si="11"/>
        <v>#REF!</v>
      </c>
      <c r="S46" s="3" t="e">
        <f t="shared" si="11"/>
        <v>#REF!</v>
      </c>
      <c r="T46" s="3" t="e">
        <f t="shared" si="11"/>
        <v>#REF!</v>
      </c>
      <c r="U46" s="3" t="e">
        <f t="shared" si="11"/>
        <v>#REF!</v>
      </c>
      <c r="V46" s="3" t="e">
        <f t="shared" si="11"/>
        <v>#REF!</v>
      </c>
      <c r="W46" s="3" t="e">
        <f t="shared" si="11"/>
        <v>#REF!</v>
      </c>
      <c r="X46" s="3" t="e">
        <f t="shared" si="11"/>
        <v>#REF!</v>
      </c>
      <c r="Y46" s="3" t="e">
        <f t="shared" si="11"/>
        <v>#REF!</v>
      </c>
      <c r="Z46" s="3" t="e">
        <f t="shared" si="11"/>
        <v>#REF!</v>
      </c>
      <c r="AA46" s="3" t="e">
        <f t="shared" si="11"/>
        <v>#REF!</v>
      </c>
      <c r="AB46" s="3" t="e">
        <f t="shared" si="11"/>
        <v>#REF!</v>
      </c>
      <c r="AC46" s="3" t="e">
        <f t="shared" si="11"/>
        <v>#REF!</v>
      </c>
      <c r="AD46" s="3" t="e">
        <f t="shared" si="11"/>
        <v>#REF!</v>
      </c>
      <c r="AE46" s="3" t="e">
        <f t="shared" si="11"/>
        <v>#REF!</v>
      </c>
      <c r="AF46" s="3" t="e">
        <f t="shared" si="11"/>
        <v>#REF!</v>
      </c>
      <c r="AG46" s="3" t="e">
        <f t="shared" si="11"/>
        <v>#REF!</v>
      </c>
    </row>
    <row r="47" spans="2:33" x14ac:dyDescent="0.25">
      <c r="B47" s="16" t="s">
        <v>37</v>
      </c>
      <c r="C47" s="3" t="e">
        <f>#REF!</f>
        <v>#REF!</v>
      </c>
      <c r="D47" s="3" t="e">
        <f>#REF!</f>
        <v>#REF!</v>
      </c>
      <c r="E47" s="3" t="e">
        <f>#REF!</f>
        <v>#REF!</v>
      </c>
      <c r="F47" s="3" t="e">
        <f>#REF!</f>
        <v>#REF!</v>
      </c>
      <c r="G47" s="3" t="e">
        <f>AVERAGE(C47:F47)</f>
        <v>#REF!</v>
      </c>
      <c r="H47" s="3" t="e">
        <f>AVERAGE(C47:G47)</f>
        <v>#REF!</v>
      </c>
      <c r="I47" s="3" t="e">
        <f>AVERAGE(C47:H47)</f>
        <v>#REF!</v>
      </c>
      <c r="J47" s="3" t="e">
        <f>AVERAGE(C47:I47)</f>
        <v>#REF!</v>
      </c>
      <c r="K47" s="3" t="e">
        <f>AVERAGE(C47:J47)</f>
        <v>#REF!</v>
      </c>
      <c r="L47" s="3" t="e">
        <f t="shared" ref="L47:AG47" si="12">AVERAGE(C47:K47)</f>
        <v>#REF!</v>
      </c>
      <c r="M47" s="3" t="e">
        <f t="shared" si="12"/>
        <v>#REF!</v>
      </c>
      <c r="N47" s="3" t="e">
        <f t="shared" si="12"/>
        <v>#REF!</v>
      </c>
      <c r="O47" s="3" t="e">
        <f t="shared" si="12"/>
        <v>#REF!</v>
      </c>
      <c r="P47" s="3" t="e">
        <f t="shared" si="12"/>
        <v>#REF!</v>
      </c>
      <c r="Q47" s="3" t="e">
        <f t="shared" si="12"/>
        <v>#REF!</v>
      </c>
      <c r="R47" s="3" t="e">
        <f t="shared" si="12"/>
        <v>#REF!</v>
      </c>
      <c r="S47" s="3" t="e">
        <f t="shared" si="12"/>
        <v>#REF!</v>
      </c>
      <c r="T47" s="3" t="e">
        <f t="shared" si="12"/>
        <v>#REF!</v>
      </c>
      <c r="U47" s="3" t="e">
        <f t="shared" si="12"/>
        <v>#REF!</v>
      </c>
      <c r="V47" s="3" t="e">
        <f t="shared" si="12"/>
        <v>#REF!</v>
      </c>
      <c r="W47" s="3" t="e">
        <f t="shared" si="12"/>
        <v>#REF!</v>
      </c>
      <c r="X47" s="3" t="e">
        <f t="shared" si="12"/>
        <v>#REF!</v>
      </c>
      <c r="Y47" s="3" t="e">
        <f t="shared" si="12"/>
        <v>#REF!</v>
      </c>
      <c r="Z47" s="3" t="e">
        <f t="shared" si="12"/>
        <v>#REF!</v>
      </c>
      <c r="AA47" s="3" t="e">
        <f t="shared" si="12"/>
        <v>#REF!</v>
      </c>
      <c r="AB47" s="3" t="e">
        <f t="shared" si="12"/>
        <v>#REF!</v>
      </c>
      <c r="AC47" s="3" t="e">
        <f t="shared" si="12"/>
        <v>#REF!</v>
      </c>
      <c r="AD47" s="3" t="e">
        <f t="shared" si="12"/>
        <v>#REF!</v>
      </c>
      <c r="AE47" s="3" t="e">
        <f t="shared" si="12"/>
        <v>#REF!</v>
      </c>
      <c r="AF47" s="3" t="e">
        <f t="shared" si="12"/>
        <v>#REF!</v>
      </c>
      <c r="AG47" s="3" t="e">
        <f t="shared" si="12"/>
        <v>#REF!</v>
      </c>
    </row>
    <row r="48" spans="2:33" x14ac:dyDescent="0.25">
      <c r="B48" s="16" t="s">
        <v>50</v>
      </c>
      <c r="C48" s="3" t="e">
        <f>#REF!</f>
        <v>#REF!</v>
      </c>
      <c r="D48" s="3" t="e">
        <f>#REF!</f>
        <v>#REF!</v>
      </c>
      <c r="E48" s="3" t="e">
        <f>#REF!</f>
        <v>#REF!</v>
      </c>
      <c r="F48" s="3" t="e">
        <f>#REF!</f>
        <v>#REF!</v>
      </c>
      <c r="G48" s="3" t="e">
        <f>AVERAGE(C48:F48)</f>
        <v>#REF!</v>
      </c>
      <c r="H48" s="3" t="e">
        <f>AVERAGE(C48:G48)</f>
        <v>#REF!</v>
      </c>
      <c r="I48" s="3" t="e">
        <f>AVERAGE(C48:H48)</f>
        <v>#REF!</v>
      </c>
      <c r="J48" s="3" t="e">
        <f>AVERAGE(C48:I48)</f>
        <v>#REF!</v>
      </c>
      <c r="K48" s="3" t="e">
        <f>AVERAGE(C48:J48)</f>
        <v>#REF!</v>
      </c>
      <c r="L48" s="3" t="e">
        <f t="shared" ref="L48:AG48" si="13">AVERAGE(C48:K48)</f>
        <v>#REF!</v>
      </c>
      <c r="M48" s="3" t="e">
        <f t="shared" si="13"/>
        <v>#REF!</v>
      </c>
      <c r="N48" s="3" t="e">
        <f t="shared" si="13"/>
        <v>#REF!</v>
      </c>
      <c r="O48" s="3" t="e">
        <f t="shared" si="13"/>
        <v>#REF!</v>
      </c>
      <c r="P48" s="3" t="e">
        <f t="shared" si="13"/>
        <v>#REF!</v>
      </c>
      <c r="Q48" s="3" t="e">
        <f t="shared" si="13"/>
        <v>#REF!</v>
      </c>
      <c r="R48" s="3" t="e">
        <f t="shared" si="13"/>
        <v>#REF!</v>
      </c>
      <c r="S48" s="3" t="e">
        <f t="shared" si="13"/>
        <v>#REF!</v>
      </c>
      <c r="T48" s="3" t="e">
        <f t="shared" si="13"/>
        <v>#REF!</v>
      </c>
      <c r="U48" s="3" t="e">
        <f t="shared" si="13"/>
        <v>#REF!</v>
      </c>
      <c r="V48" s="3" t="e">
        <f t="shared" si="13"/>
        <v>#REF!</v>
      </c>
      <c r="W48" s="3" t="e">
        <f t="shared" si="13"/>
        <v>#REF!</v>
      </c>
      <c r="X48" s="3" t="e">
        <f t="shared" si="13"/>
        <v>#REF!</v>
      </c>
      <c r="Y48" s="3" t="e">
        <f t="shared" si="13"/>
        <v>#REF!</v>
      </c>
      <c r="Z48" s="3" t="e">
        <f t="shared" si="13"/>
        <v>#REF!</v>
      </c>
      <c r="AA48" s="3" t="e">
        <f t="shared" si="13"/>
        <v>#REF!</v>
      </c>
      <c r="AB48" s="3" t="e">
        <f t="shared" si="13"/>
        <v>#REF!</v>
      </c>
      <c r="AC48" s="3" t="e">
        <f t="shared" si="13"/>
        <v>#REF!</v>
      </c>
      <c r="AD48" s="3" t="e">
        <f t="shared" si="13"/>
        <v>#REF!</v>
      </c>
      <c r="AE48" s="3" t="e">
        <f t="shared" si="13"/>
        <v>#REF!</v>
      </c>
      <c r="AF48" s="3" t="e">
        <f t="shared" si="13"/>
        <v>#REF!</v>
      </c>
      <c r="AG48" s="3" t="e">
        <f t="shared" si="13"/>
        <v>#REF!</v>
      </c>
    </row>
    <row r="49" spans="2:34" x14ac:dyDescent="0.25"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x14ac:dyDescent="0.25"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x14ac:dyDescent="0.25"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x14ac:dyDescent="0.25"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</sheetData>
  <pageMargins left="0.78740157499999996" right="0.78740157499999996" top="0.984251969" bottom="0.984251969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78"/>
  <sheetViews>
    <sheetView showGridLines="0" tabSelected="1" zoomScale="120" zoomScaleNormal="120" workbookViewId="0">
      <selection activeCell="B1" sqref="B1"/>
    </sheetView>
  </sheetViews>
  <sheetFormatPr baseColWidth="10" defaultColWidth="11.42578125" defaultRowHeight="15.75" x14ac:dyDescent="0.25"/>
  <cols>
    <col min="1" max="1" width="3.7109375" style="17" customWidth="1"/>
    <col min="2" max="2" width="59.7109375" style="17" customWidth="1"/>
    <col min="3" max="3" width="1.7109375" style="17" hidden="1" customWidth="1"/>
    <col min="4" max="4" width="12.85546875" style="17" hidden="1" customWidth="1"/>
    <col min="5" max="5" width="12.140625" style="17" hidden="1" customWidth="1"/>
    <col min="6" max="6" width="12.140625" style="17" customWidth="1"/>
    <col min="7" max="7" width="12.85546875" style="17" bestFit="1" customWidth="1"/>
    <col min="8" max="8" width="12.85546875" style="17" customWidth="1"/>
    <col min="9" max="9" width="12.7109375" style="33" customWidth="1"/>
    <col min="10" max="10" width="11.42578125" style="33"/>
    <col min="11" max="16384" width="11.42578125" style="17"/>
  </cols>
  <sheetData>
    <row r="1" spans="2:10" x14ac:dyDescent="0.25">
      <c r="B1" s="224" t="s">
        <v>178</v>
      </c>
    </row>
    <row r="3" spans="2:10" s="20" customFormat="1" x14ac:dyDescent="0.25">
      <c r="B3" s="18" t="s">
        <v>108</v>
      </c>
      <c r="C3" s="19">
        <v>41639</v>
      </c>
      <c r="D3" s="138">
        <v>2014</v>
      </c>
      <c r="E3" s="155">
        <v>2015</v>
      </c>
      <c r="F3" s="155">
        <v>2016</v>
      </c>
      <c r="G3" s="155">
        <v>2017</v>
      </c>
      <c r="H3" s="155">
        <v>2018</v>
      </c>
      <c r="I3" s="155">
        <v>2019</v>
      </c>
      <c r="J3" s="179">
        <v>2020</v>
      </c>
    </row>
    <row r="4" spans="2:10" x14ac:dyDescent="0.25">
      <c r="B4" s="21"/>
      <c r="C4" s="22"/>
      <c r="D4" s="22"/>
      <c r="E4" s="22"/>
      <c r="F4" s="22"/>
      <c r="G4" s="22"/>
      <c r="H4" s="22"/>
      <c r="I4" s="22"/>
      <c r="J4" s="180"/>
    </row>
    <row r="5" spans="2:10" x14ac:dyDescent="0.25">
      <c r="B5" s="23" t="s">
        <v>56</v>
      </c>
      <c r="C5" s="36" t="e">
        <f>+#REF!/1000000</f>
        <v>#REF!</v>
      </c>
      <c r="D5" s="60" t="e">
        <f>+#REF!/1000000</f>
        <v>#REF!</v>
      </c>
      <c r="E5" s="60" t="e">
        <f>+#REF!/1000000</f>
        <v>#REF!</v>
      </c>
      <c r="F5" s="60">
        <v>45827</v>
      </c>
      <c r="G5" s="60">
        <v>49219.316118000002</v>
      </c>
      <c r="H5" s="60">
        <v>56356.090680000001</v>
      </c>
      <c r="I5" s="60">
        <v>61390.434216000001</v>
      </c>
      <c r="J5" s="181">
        <v>59744.028557999998</v>
      </c>
    </row>
    <row r="6" spans="2:10" x14ac:dyDescent="0.25">
      <c r="B6" s="23" t="s">
        <v>95</v>
      </c>
      <c r="C6" s="60" t="e">
        <f>+#REF!/1000000</f>
        <v>#REF!</v>
      </c>
      <c r="D6" s="60" t="e">
        <f>+#REF!/1000000</f>
        <v>#REF!</v>
      </c>
      <c r="E6" s="60" t="e">
        <f>+#REF!/1000000</f>
        <v>#REF!</v>
      </c>
      <c r="F6" s="60">
        <v>0</v>
      </c>
      <c r="G6" s="60">
        <v>0</v>
      </c>
      <c r="H6" s="60">
        <v>0</v>
      </c>
      <c r="I6" s="60">
        <v>0</v>
      </c>
      <c r="J6" s="181">
        <v>0</v>
      </c>
    </row>
    <row r="7" spans="2:10" x14ac:dyDescent="0.25">
      <c r="B7" s="23" t="s">
        <v>20</v>
      </c>
      <c r="C7" s="60" t="e">
        <f>+#REF!/1000000</f>
        <v>#REF!</v>
      </c>
      <c r="D7" s="60" t="e">
        <f>+#REF!/1000000</f>
        <v>#REF!</v>
      </c>
      <c r="E7" s="60" t="e">
        <f>+#REF!/1000000</f>
        <v>#REF!</v>
      </c>
      <c r="F7" s="60">
        <v>0</v>
      </c>
      <c r="G7" s="60">
        <v>0</v>
      </c>
      <c r="H7" s="60">
        <v>0</v>
      </c>
      <c r="I7" s="60">
        <v>0</v>
      </c>
      <c r="J7" s="181">
        <v>0</v>
      </c>
    </row>
    <row r="8" spans="2:10" x14ac:dyDescent="0.25">
      <c r="B8" s="70" t="s">
        <v>21</v>
      </c>
      <c r="C8" s="63" t="e">
        <f>+#REF!/1000000</f>
        <v>#REF!</v>
      </c>
      <c r="D8" s="63" t="e">
        <f>+#REF!/1000000</f>
        <v>#REF!</v>
      </c>
      <c r="E8" s="63" t="e">
        <f>+#REF!/1000000</f>
        <v>#REF!</v>
      </c>
      <c r="F8" s="63">
        <v>2077</v>
      </c>
      <c r="G8" s="63">
        <v>3427.843249</v>
      </c>
      <c r="H8" s="63">
        <v>2849.3271030000001</v>
      </c>
      <c r="I8" s="63">
        <v>3140.6362039999999</v>
      </c>
      <c r="J8" s="182">
        <v>8042.5361480000001</v>
      </c>
    </row>
    <row r="9" spans="2:10" s="20" customFormat="1" x14ac:dyDescent="0.25">
      <c r="B9" s="24" t="s">
        <v>52</v>
      </c>
      <c r="C9" s="25" t="e">
        <f t="shared" ref="C9:E9" si="0">SUM(C5:C8)</f>
        <v>#REF!</v>
      </c>
      <c r="D9" s="26" t="e">
        <f t="shared" si="0"/>
        <v>#REF!</v>
      </c>
      <c r="E9" s="26" t="e">
        <f t="shared" si="0"/>
        <v>#REF!</v>
      </c>
      <c r="F9" s="26">
        <v>47904</v>
      </c>
      <c r="G9" s="26">
        <v>52647.159367</v>
      </c>
      <c r="H9" s="26">
        <v>59205.417783000004</v>
      </c>
      <c r="I9" s="26">
        <v>64531.070420000004</v>
      </c>
      <c r="J9" s="183">
        <v>67786.564706000005</v>
      </c>
    </row>
    <row r="10" spans="2:10" x14ac:dyDescent="0.25">
      <c r="B10" s="21"/>
      <c r="C10" s="22"/>
      <c r="D10" s="22"/>
      <c r="E10" s="22"/>
      <c r="F10" s="22"/>
      <c r="G10" s="22"/>
      <c r="H10" s="22"/>
      <c r="I10" s="22"/>
      <c r="J10" s="180"/>
    </row>
    <row r="11" spans="2:10" x14ac:dyDescent="0.25">
      <c r="B11" s="21" t="s">
        <v>13</v>
      </c>
      <c r="C11" s="36" t="e">
        <f>(#REF!+#REF!+#REF!+#REF!+#REF!+#REF!)/-1000000</f>
        <v>#REF!</v>
      </c>
      <c r="D11" s="60" t="e">
        <f>(#REF!+#REF!+#REF!+#REF!+#REF!+#REF!)/-1000000</f>
        <v>#REF!</v>
      </c>
      <c r="E11" s="60" t="e">
        <f>(#REF!+#REF!+#REF!+#REF!+#REF!+#REF!)/-1000000</f>
        <v>#REF!</v>
      </c>
      <c r="F11" s="60">
        <v>-1794</v>
      </c>
      <c r="G11" s="60">
        <v>-1927.7247480000001</v>
      </c>
      <c r="H11" s="60">
        <v>-1689.382141</v>
      </c>
      <c r="I11" s="60">
        <v>-1788.400866</v>
      </c>
      <c r="J11" s="181">
        <v>-2059.4529419999999</v>
      </c>
    </row>
    <row r="12" spans="2:10" x14ac:dyDescent="0.25">
      <c r="B12" s="21" t="s">
        <v>14</v>
      </c>
      <c r="C12" s="60" t="e">
        <f>+#REF!/-1000000</f>
        <v>#REF!</v>
      </c>
      <c r="D12" s="60" t="e">
        <f>+#REF!/-1000000</f>
        <v>#REF!</v>
      </c>
      <c r="E12" s="60" t="e">
        <f>+#REF!/-1000000</f>
        <v>#REF!</v>
      </c>
      <c r="F12" s="60">
        <v>-280</v>
      </c>
      <c r="G12" s="60">
        <v>-276.29809999999998</v>
      </c>
      <c r="H12" s="60">
        <v>-152.022199</v>
      </c>
      <c r="I12" s="60">
        <v>-249.80832000000001</v>
      </c>
      <c r="J12" s="181">
        <v>-62.700850000000003</v>
      </c>
    </row>
    <row r="13" spans="2:10" x14ac:dyDescent="0.25">
      <c r="B13" s="21" t="s">
        <v>15</v>
      </c>
      <c r="C13" s="60" t="e">
        <f>+#REF!/-1000000</f>
        <v>#REF!</v>
      </c>
      <c r="D13" s="60" t="e">
        <f>+#REF!/-1000000</f>
        <v>#REF!</v>
      </c>
      <c r="E13" s="60" t="e">
        <f>+#REF!/-1000000</f>
        <v>#REF!</v>
      </c>
      <c r="F13" s="60">
        <v>-10784</v>
      </c>
      <c r="G13" s="60">
        <v>-10416.637344000001</v>
      </c>
      <c r="H13" s="60">
        <v>-11061.536878000001</v>
      </c>
      <c r="I13" s="60">
        <v>-9310.3469449999993</v>
      </c>
      <c r="J13" s="181">
        <v>-10123.393807</v>
      </c>
    </row>
    <row r="14" spans="2:10" x14ac:dyDescent="0.25">
      <c r="B14" s="21" t="s">
        <v>17</v>
      </c>
      <c r="C14" s="61" t="e">
        <f>+#REF!/-1000000</f>
        <v>#REF!</v>
      </c>
      <c r="D14" s="61" t="e">
        <f>+#REF!/-1000000</f>
        <v>#REF!</v>
      </c>
      <c r="E14" s="61" t="e">
        <f>+#REF!/-1000000</f>
        <v>#REF!</v>
      </c>
      <c r="F14" s="61">
        <v>-4680</v>
      </c>
      <c r="G14" s="61">
        <v>-3967.1417889999998</v>
      </c>
      <c r="H14" s="61">
        <v>-5812.989329</v>
      </c>
      <c r="I14" s="61">
        <v>-3977.5078880000001</v>
      </c>
      <c r="J14" s="184">
        <v>-9322.1685479999996</v>
      </c>
    </row>
    <row r="15" spans="2:10" s="20" customFormat="1" x14ac:dyDescent="0.25">
      <c r="B15" s="27" t="s">
        <v>51</v>
      </c>
      <c r="C15" s="28" t="e">
        <f t="shared" ref="C15:E15" si="1">SUM(C9:C14)</f>
        <v>#REF!</v>
      </c>
      <c r="D15" s="26" t="e">
        <f t="shared" si="1"/>
        <v>#REF!</v>
      </c>
      <c r="E15" s="26" t="e">
        <f t="shared" si="1"/>
        <v>#REF!</v>
      </c>
      <c r="F15" s="26">
        <v>30366</v>
      </c>
      <c r="G15" s="26">
        <v>36059.357385999996</v>
      </c>
      <c r="H15" s="26">
        <v>40489.487236000001</v>
      </c>
      <c r="I15" s="26">
        <v>49205.006401000013</v>
      </c>
      <c r="J15" s="183">
        <v>46218.848559000005</v>
      </c>
    </row>
    <row r="16" spans="2:10" s="29" customFormat="1" x14ac:dyDescent="0.25">
      <c r="B16" s="157" t="s">
        <v>40</v>
      </c>
      <c r="C16" s="158" t="e">
        <f t="shared" ref="C16:E16" si="2">C15/C5</f>
        <v>#REF!</v>
      </c>
      <c r="D16" s="158" t="e">
        <f t="shared" si="2"/>
        <v>#REF!</v>
      </c>
      <c r="E16" s="158" t="e">
        <f t="shared" si="2"/>
        <v>#REF!</v>
      </c>
      <c r="F16" s="158">
        <v>0.66262247146878472</v>
      </c>
      <c r="G16" s="158">
        <v>0.73262613603874771</v>
      </c>
      <c r="H16" s="158">
        <v>0.71845805391127249</v>
      </c>
      <c r="I16" s="158">
        <v>0.80150933984069883</v>
      </c>
      <c r="J16" s="185">
        <v>0.77361452976225675</v>
      </c>
    </row>
    <row r="17" spans="2:10" x14ac:dyDescent="0.25">
      <c r="B17" s="21"/>
      <c r="C17" s="22"/>
      <c r="D17" s="22"/>
      <c r="E17" s="22"/>
      <c r="F17" s="22"/>
      <c r="G17" s="22"/>
      <c r="H17" s="22"/>
      <c r="I17" s="22"/>
      <c r="J17" s="180"/>
    </row>
    <row r="18" spans="2:10" x14ac:dyDescent="0.25">
      <c r="B18" s="21" t="s">
        <v>16</v>
      </c>
      <c r="C18" s="36" t="e">
        <f>+#REF!/-1000000</f>
        <v>#REF!</v>
      </c>
      <c r="D18" s="60" t="e">
        <f>+#REF!/-1000000</f>
        <v>#REF!</v>
      </c>
      <c r="E18" s="60" t="e">
        <f>+#REF!/-1000000</f>
        <v>#REF!</v>
      </c>
      <c r="F18" s="60">
        <v>-3694</v>
      </c>
      <c r="G18" s="60">
        <v>-4000.662558</v>
      </c>
      <c r="H18" s="60">
        <v>-3879.3333240000002</v>
      </c>
      <c r="I18" s="60">
        <v>-3300.3071599999998</v>
      </c>
      <c r="J18" s="181">
        <v>-3077.7982609999999</v>
      </c>
    </row>
    <row r="19" spans="2:10" x14ac:dyDescent="0.25">
      <c r="B19" s="21" t="s">
        <v>19</v>
      </c>
      <c r="C19" s="61" t="e">
        <f>+#REF!/-1000000</f>
        <v>#REF!</v>
      </c>
      <c r="D19" s="61" t="e">
        <f>+#REF!/-1000000</f>
        <v>#REF!</v>
      </c>
      <c r="E19" s="61" t="e">
        <f>+#REF!/-1000000</f>
        <v>#REF!</v>
      </c>
      <c r="F19" s="61">
        <v>-20607</v>
      </c>
      <c r="G19" s="61">
        <v>-22431.360854999999</v>
      </c>
      <c r="H19" s="61">
        <v>-22911.436967000001</v>
      </c>
      <c r="I19" s="61">
        <v>-24383.621920000001</v>
      </c>
      <c r="J19" s="184">
        <v>-28131.416083</v>
      </c>
    </row>
    <row r="20" spans="2:10" s="20" customFormat="1" x14ac:dyDescent="0.25">
      <c r="B20" s="27" t="s">
        <v>53</v>
      </c>
      <c r="C20" s="28" t="e">
        <f t="shared" ref="C20:E20" si="3">C15+C18+C19</f>
        <v>#REF!</v>
      </c>
      <c r="D20" s="26" t="e">
        <f t="shared" si="3"/>
        <v>#REF!</v>
      </c>
      <c r="E20" s="26" t="e">
        <f t="shared" si="3"/>
        <v>#REF!</v>
      </c>
      <c r="F20" s="26">
        <v>6065</v>
      </c>
      <c r="G20" s="26">
        <v>9627.3339729999971</v>
      </c>
      <c r="H20" s="26">
        <v>13698.716945</v>
      </c>
      <c r="I20" s="26">
        <v>21521.077321000015</v>
      </c>
      <c r="J20" s="183">
        <v>15009.634215000002</v>
      </c>
    </row>
    <row r="21" spans="2:10" s="29" customFormat="1" x14ac:dyDescent="0.25">
      <c r="B21" s="157" t="s">
        <v>40</v>
      </c>
      <c r="C21" s="158" t="e">
        <f t="shared" ref="C21:E21" si="4">C20/C5</f>
        <v>#REF!</v>
      </c>
      <c r="D21" s="158" t="e">
        <f t="shared" si="4"/>
        <v>#REF!</v>
      </c>
      <c r="E21" s="158" t="e">
        <f t="shared" si="4"/>
        <v>#REF!</v>
      </c>
      <c r="F21" s="158">
        <v>0.1323455604774478</v>
      </c>
      <c r="G21" s="158">
        <v>0.19560072614416485</v>
      </c>
      <c r="H21" s="158">
        <v>0.24307429382892745</v>
      </c>
      <c r="I21" s="158">
        <v>0.35056076074130527</v>
      </c>
      <c r="J21" s="185">
        <v>0.25123237547378519</v>
      </c>
    </row>
    <row r="22" spans="2:10" x14ac:dyDescent="0.25">
      <c r="B22" s="21"/>
      <c r="C22" s="22"/>
      <c r="D22" s="22"/>
      <c r="E22" s="22"/>
      <c r="F22" s="22"/>
      <c r="G22" s="22"/>
      <c r="H22" s="22"/>
      <c r="I22" s="22"/>
      <c r="J22" s="180"/>
    </row>
    <row r="23" spans="2:10" x14ac:dyDescent="0.25">
      <c r="B23" s="21" t="s">
        <v>18</v>
      </c>
      <c r="C23" s="36" t="e">
        <f>+#REF!/-1000000</f>
        <v>#REF!</v>
      </c>
      <c r="D23" s="60" t="e">
        <f>+#REF!/-1000000</f>
        <v>#REF!</v>
      </c>
      <c r="E23" s="60" t="e">
        <f>+#REF!/-1000000</f>
        <v>#REF!</v>
      </c>
      <c r="F23" s="60">
        <v>-5859</v>
      </c>
      <c r="G23" s="60">
        <v>-9032.4765179999995</v>
      </c>
      <c r="H23" s="60">
        <v>-7877.8361080000004</v>
      </c>
      <c r="I23" s="60">
        <v>-5750.9787669999996</v>
      </c>
      <c r="J23" s="181">
        <v>-5815.4895509999997</v>
      </c>
    </row>
    <row r="24" spans="2:10" x14ac:dyDescent="0.25">
      <c r="B24" s="21" t="s">
        <v>22</v>
      </c>
      <c r="C24" s="61" t="e">
        <f>+#REF!/1000000+#REF!/1000000</f>
        <v>#REF!</v>
      </c>
      <c r="D24" s="61" t="e">
        <f>+#REF!/1000000+#REF!/1000000</f>
        <v>#REF!</v>
      </c>
      <c r="E24" s="61" t="e">
        <f>+#REF!/1000000+#REF!/1000000</f>
        <v>#REF!</v>
      </c>
      <c r="F24" s="61">
        <v>2584</v>
      </c>
      <c r="G24" s="61">
        <v>4210.2848290000002</v>
      </c>
      <c r="H24" s="61">
        <v>3726.0196940000001</v>
      </c>
      <c r="I24" s="61">
        <v>625.10378300000002</v>
      </c>
      <c r="J24" s="184">
        <v>628.64092900000003</v>
      </c>
    </row>
    <row r="25" spans="2:10" s="20" customFormat="1" x14ac:dyDescent="0.25">
      <c r="B25" s="27" t="s">
        <v>23</v>
      </c>
      <c r="C25" s="28" t="e">
        <f t="shared" ref="C25:E25" si="5">C20+C23+C24</f>
        <v>#REF!</v>
      </c>
      <c r="D25" s="28" t="e">
        <f t="shared" si="5"/>
        <v>#REF!</v>
      </c>
      <c r="E25" s="28" t="e">
        <f t="shared" si="5"/>
        <v>#REF!</v>
      </c>
      <c r="F25" s="28">
        <v>2790</v>
      </c>
      <c r="G25" s="28">
        <v>4805.1422839999977</v>
      </c>
      <c r="H25" s="28">
        <v>9546.9005309999993</v>
      </c>
      <c r="I25" s="28">
        <v>16395.202337000013</v>
      </c>
      <c r="J25" s="186">
        <v>9822.7855930000023</v>
      </c>
    </row>
    <row r="26" spans="2:10" s="29" customFormat="1" x14ac:dyDescent="0.25">
      <c r="B26" s="157" t="s">
        <v>40</v>
      </c>
      <c r="C26" s="158" t="e">
        <f t="shared" ref="C26:E26" si="6">C25/C5</f>
        <v>#REF!</v>
      </c>
      <c r="D26" s="158" t="e">
        <f t="shared" si="6"/>
        <v>#REF!</v>
      </c>
      <c r="E26" s="158" t="e">
        <f t="shared" si="6"/>
        <v>#REF!</v>
      </c>
      <c r="F26" s="158">
        <v>6.0881139939337074E-2</v>
      </c>
      <c r="G26" s="158">
        <v>9.7627164759461343E-2</v>
      </c>
      <c r="H26" s="158">
        <v>0.16940317214707126</v>
      </c>
      <c r="I26" s="158">
        <v>0.26706444654413247</v>
      </c>
      <c r="J26" s="185">
        <v>0.16441451689960881</v>
      </c>
    </row>
    <row r="27" spans="2:10" x14ac:dyDescent="0.25">
      <c r="B27" s="21"/>
      <c r="C27" s="22"/>
      <c r="D27" s="22"/>
      <c r="E27" s="22"/>
      <c r="F27" s="22"/>
      <c r="G27" s="22"/>
      <c r="H27" s="22"/>
      <c r="I27" s="22"/>
      <c r="J27" s="180"/>
    </row>
    <row r="28" spans="2:10" x14ac:dyDescent="0.25">
      <c r="B28" s="21" t="s">
        <v>54</v>
      </c>
      <c r="C28" s="36" t="e">
        <f>+(#REF!-#REF!)/1000000</f>
        <v>#REF!</v>
      </c>
      <c r="D28" s="60" t="e">
        <f>+(#REF!-#REF!)/1000000</f>
        <v>#REF!</v>
      </c>
      <c r="E28" s="60" t="e">
        <f>+(#REF!-#REF!)/1000000</f>
        <v>#REF!</v>
      </c>
      <c r="F28" s="60">
        <v>-1611</v>
      </c>
      <c r="G28" s="60">
        <v>-2683.0272169999998</v>
      </c>
      <c r="H28" s="60">
        <v>-237.83036300000001</v>
      </c>
      <c r="I28" s="60">
        <v>3376.5718059999999</v>
      </c>
      <c r="J28" s="181">
        <v>4007.0039750000001</v>
      </c>
    </row>
    <row r="29" spans="2:10" x14ac:dyDescent="0.25">
      <c r="B29" s="21" t="s">
        <v>57</v>
      </c>
      <c r="C29" s="60" t="e">
        <f>+#REF!/-1000000+#REF!/1000000</f>
        <v>#REF!</v>
      </c>
      <c r="D29" s="60" t="e">
        <f>+#REF!/-1000000+#REF!/1000000</f>
        <v>#REF!</v>
      </c>
      <c r="E29" s="60" t="e">
        <f>+#REF!/-1000000+#REF!/1000000</f>
        <v>#REF!</v>
      </c>
      <c r="F29" s="60">
        <v>687</v>
      </c>
      <c r="G29" s="60">
        <v>-6.4110700000000005</v>
      </c>
      <c r="H29" s="60">
        <v>18.985541999999999</v>
      </c>
      <c r="I29" s="60">
        <v>4.8041320000000001</v>
      </c>
      <c r="J29" s="181">
        <v>-0.52150900000000178</v>
      </c>
    </row>
    <row r="30" spans="2:10" x14ac:dyDescent="0.25">
      <c r="B30" s="21" t="s">
        <v>84</v>
      </c>
      <c r="C30" s="60" t="e">
        <f>+#REF!/1000000</f>
        <v>#REF!</v>
      </c>
      <c r="D30" s="60" t="e">
        <f>+#REF!/1000000</f>
        <v>#REF!</v>
      </c>
      <c r="E30" s="60" t="e">
        <f>+#REF!/1000000</f>
        <v>#REF!</v>
      </c>
      <c r="F30" s="60">
        <v>0</v>
      </c>
      <c r="G30" s="60">
        <v>0</v>
      </c>
      <c r="H30" s="60">
        <v>0</v>
      </c>
      <c r="I30" s="60">
        <v>0</v>
      </c>
      <c r="J30" s="181">
        <v>0</v>
      </c>
    </row>
    <row r="31" spans="2:10" x14ac:dyDescent="0.25">
      <c r="B31" s="21" t="s">
        <v>55</v>
      </c>
      <c r="C31" s="61" t="e">
        <f>+#REF!/-1000000</f>
        <v>#REF!</v>
      </c>
      <c r="D31" s="61" t="e">
        <f>+#REF!/-1000000</f>
        <v>#REF!</v>
      </c>
      <c r="E31" s="61" t="e">
        <f>+#REF!/-1000000</f>
        <v>#REF!</v>
      </c>
      <c r="F31" s="61">
        <v>-310</v>
      </c>
      <c r="G31" s="61">
        <v>-695.21670200000005</v>
      </c>
      <c r="H31" s="61">
        <v>-3052.764666</v>
      </c>
      <c r="I31" s="61">
        <v>-5836.5582000000004</v>
      </c>
      <c r="J31" s="184">
        <v>-3268.1801270000001</v>
      </c>
    </row>
    <row r="32" spans="2:10" s="20" customFormat="1" x14ac:dyDescent="0.25">
      <c r="B32" s="27" t="s">
        <v>89</v>
      </c>
      <c r="C32" s="28" t="e">
        <f t="shared" ref="C32:E32" si="7">C25+C28+C29+C31+C30</f>
        <v>#REF!</v>
      </c>
      <c r="D32" s="28" t="e">
        <f t="shared" si="7"/>
        <v>#REF!</v>
      </c>
      <c r="E32" s="28" t="e">
        <f t="shared" si="7"/>
        <v>#REF!</v>
      </c>
      <c r="F32" s="28">
        <v>1556</v>
      </c>
      <c r="G32" s="28">
        <v>1420.4872949999976</v>
      </c>
      <c r="H32" s="28">
        <v>6275.2910440000005</v>
      </c>
      <c r="I32" s="28">
        <v>13940.020075000015</v>
      </c>
      <c r="J32" s="186">
        <v>10561.087932000002</v>
      </c>
    </row>
    <row r="33" spans="2:10" s="20" customFormat="1" x14ac:dyDescent="0.25">
      <c r="B33" s="157" t="s">
        <v>40</v>
      </c>
      <c r="C33" s="156"/>
      <c r="D33" s="158" t="e">
        <f>D32/D5</f>
        <v>#REF!</v>
      </c>
      <c r="E33" s="158" t="e">
        <f t="shared" ref="E33" si="8">E32/E5</f>
        <v>#REF!</v>
      </c>
      <c r="F33" s="158">
        <v>3.3953782704519167E-2</v>
      </c>
      <c r="G33" s="158">
        <v>2.8860362293423071E-2</v>
      </c>
      <c r="H33" s="158">
        <v>0.11135071592584783</v>
      </c>
      <c r="I33" s="158">
        <v>0.22707153407569269</v>
      </c>
      <c r="J33" s="185">
        <v>0.17677227644177376</v>
      </c>
    </row>
    <row r="34" spans="2:10" s="20" customFormat="1" x14ac:dyDescent="0.25">
      <c r="B34" s="42"/>
      <c r="C34" s="30"/>
      <c r="D34" s="30"/>
      <c r="E34" s="30"/>
      <c r="F34" s="30"/>
      <c r="G34" s="30"/>
      <c r="H34" s="30"/>
      <c r="I34" s="30"/>
      <c r="J34" s="31"/>
    </row>
    <row r="35" spans="2:10" s="20" customFormat="1" x14ac:dyDescent="0.25">
      <c r="B35" s="42" t="s">
        <v>109</v>
      </c>
      <c r="C35" s="30" t="e">
        <f>#REF!/1000000</f>
        <v>#REF!</v>
      </c>
      <c r="D35" s="66" t="e">
        <f>#REF!/1000000</f>
        <v>#REF!</v>
      </c>
      <c r="E35" s="66" t="e">
        <f>#REF!/1000000</f>
        <v>#REF!</v>
      </c>
      <c r="F35" s="66">
        <v>0</v>
      </c>
      <c r="G35" s="66">
        <v>0</v>
      </c>
      <c r="H35" s="66">
        <v>0</v>
      </c>
      <c r="I35" s="66">
        <v>0</v>
      </c>
      <c r="J35" s="187">
        <v>0</v>
      </c>
    </row>
    <row r="36" spans="2:10" s="20" customFormat="1" x14ac:dyDescent="0.25">
      <c r="B36" s="72" t="s">
        <v>116</v>
      </c>
      <c r="C36" s="73" t="e">
        <f t="shared" ref="C36:E36" si="9">+C32+C35</f>
        <v>#REF!</v>
      </c>
      <c r="D36" s="74" t="e">
        <f t="shared" si="9"/>
        <v>#REF!</v>
      </c>
      <c r="E36" s="74" t="e">
        <f t="shared" si="9"/>
        <v>#REF!</v>
      </c>
      <c r="F36" s="74">
        <v>1556</v>
      </c>
      <c r="G36" s="74">
        <v>1420.4872949999976</v>
      </c>
      <c r="H36" s="74">
        <v>6275.2910440000005</v>
      </c>
      <c r="I36" s="74">
        <v>13940.020075000015</v>
      </c>
      <c r="J36" s="188">
        <v>10561.087932000002</v>
      </c>
    </row>
    <row r="37" spans="2:10" s="20" customFormat="1" x14ac:dyDescent="0.25">
      <c r="B37" s="159" t="s">
        <v>40</v>
      </c>
      <c r="C37" s="160"/>
      <c r="D37" s="161" t="e">
        <f>D36/D5</f>
        <v>#REF!</v>
      </c>
      <c r="E37" s="161" t="e">
        <f t="shared" ref="E37" si="10">E36/E5</f>
        <v>#REF!</v>
      </c>
      <c r="F37" s="161">
        <v>3.3953782704519167E-2</v>
      </c>
      <c r="G37" s="161">
        <v>2.8860362293423071E-2</v>
      </c>
      <c r="H37" s="161">
        <v>0.11135071592584783</v>
      </c>
      <c r="I37" s="161">
        <v>0.22707153407569269</v>
      </c>
      <c r="J37" s="189">
        <v>0.17677227644177376</v>
      </c>
    </row>
    <row r="38" spans="2:10" s="20" customFormat="1" x14ac:dyDescent="0.25">
      <c r="B38" s="42"/>
      <c r="C38" s="65"/>
      <c r="D38" s="64"/>
      <c r="E38" s="64"/>
      <c r="F38" s="64"/>
      <c r="G38" s="64"/>
      <c r="H38" s="64"/>
      <c r="I38" s="64"/>
      <c r="J38" s="190"/>
    </row>
    <row r="39" spans="2:10" s="20" customFormat="1" x14ac:dyDescent="0.25">
      <c r="B39" s="71" t="s">
        <v>88</v>
      </c>
      <c r="C39" s="66" t="e">
        <f>+#REF!/1000000</f>
        <v>#REF!</v>
      </c>
      <c r="D39" s="66" t="e">
        <f>+#REF!/1000000</f>
        <v>#REF!</v>
      </c>
      <c r="E39" s="66" t="e">
        <f>+#REF!/1000000</f>
        <v>#REF!</v>
      </c>
      <c r="F39" s="66">
        <v>0</v>
      </c>
      <c r="G39" s="66">
        <v>0</v>
      </c>
      <c r="H39" s="66">
        <v>0</v>
      </c>
      <c r="I39" s="66">
        <v>0</v>
      </c>
      <c r="J39" s="187">
        <v>0</v>
      </c>
    </row>
    <row r="40" spans="2:10" s="20" customFormat="1" x14ac:dyDescent="0.25">
      <c r="B40" s="47" t="s">
        <v>115</v>
      </c>
      <c r="C40" s="26" t="e">
        <f t="shared" ref="C40:E40" si="11">+C36-C39</f>
        <v>#REF!</v>
      </c>
      <c r="D40" s="26" t="e">
        <f t="shared" si="11"/>
        <v>#REF!</v>
      </c>
      <c r="E40" s="26" t="e">
        <f t="shared" si="11"/>
        <v>#REF!</v>
      </c>
      <c r="F40" s="26">
        <v>1556</v>
      </c>
      <c r="G40" s="26">
        <v>1420.4872949999976</v>
      </c>
      <c r="H40" s="26">
        <v>6275.2910440000005</v>
      </c>
      <c r="I40" s="26">
        <v>13940.020075000015</v>
      </c>
      <c r="J40" s="183">
        <v>10561.087932000002</v>
      </c>
    </row>
    <row r="41" spans="2:10" s="29" customFormat="1" x14ac:dyDescent="0.25">
      <c r="B41" s="162" t="s">
        <v>40</v>
      </c>
      <c r="C41" s="163" t="e">
        <f t="shared" ref="C41:E41" si="12">C32/C5</f>
        <v>#REF!</v>
      </c>
      <c r="D41" s="163" t="e">
        <f t="shared" si="12"/>
        <v>#REF!</v>
      </c>
      <c r="E41" s="163" t="e">
        <f t="shared" si="12"/>
        <v>#REF!</v>
      </c>
      <c r="F41" s="163">
        <v>3.3953782704519167E-2</v>
      </c>
      <c r="G41" s="163">
        <v>2.8860362293423071E-2</v>
      </c>
      <c r="H41" s="163">
        <v>0.11135071592584783</v>
      </c>
      <c r="I41" s="163">
        <v>0.22707153407569269</v>
      </c>
      <c r="J41" s="191">
        <v>0.17677227644177376</v>
      </c>
    </row>
    <row r="42" spans="2:10" x14ac:dyDescent="0.25">
      <c r="C42" s="32"/>
      <c r="D42" s="22"/>
      <c r="H42" s="33"/>
      <c r="I42" s="17"/>
      <c r="J42" s="17"/>
    </row>
    <row r="43" spans="2:10" x14ac:dyDescent="0.25">
      <c r="C43" s="32"/>
      <c r="D43" s="22"/>
      <c r="H43" s="33"/>
      <c r="I43" s="17"/>
      <c r="J43" s="17"/>
    </row>
    <row r="44" spans="2:10" s="20" customFormat="1" x14ac:dyDescent="0.25">
      <c r="B44" s="18" t="s">
        <v>62</v>
      </c>
      <c r="C44" s="19">
        <v>41639</v>
      </c>
      <c r="D44" s="19">
        <v>42004</v>
      </c>
      <c r="E44" s="155">
        <v>2015</v>
      </c>
      <c r="F44" s="155">
        <v>2016</v>
      </c>
      <c r="G44" s="155">
        <v>2017</v>
      </c>
      <c r="H44" s="155">
        <v>2018</v>
      </c>
      <c r="I44" s="155">
        <v>2019</v>
      </c>
      <c r="J44" s="179">
        <v>2020</v>
      </c>
    </row>
    <row r="45" spans="2:10" x14ac:dyDescent="0.25">
      <c r="B45" s="21"/>
      <c r="C45" s="22"/>
      <c r="D45" s="22"/>
      <c r="E45" s="22"/>
      <c r="F45" s="22"/>
      <c r="G45" s="22"/>
      <c r="H45" s="22"/>
      <c r="I45" s="22"/>
      <c r="J45" s="180"/>
    </row>
    <row r="46" spans="2:10" x14ac:dyDescent="0.25">
      <c r="B46" s="21" t="s">
        <v>0</v>
      </c>
      <c r="C46" s="36" t="e">
        <f>#REF!/1000</f>
        <v>#REF!</v>
      </c>
      <c r="D46" s="60" t="e">
        <f>#REF!/1000000</f>
        <v>#REF!</v>
      </c>
      <c r="E46" s="60" t="e">
        <f>#REF!/1000000</f>
        <v>#REF!</v>
      </c>
      <c r="F46" s="60">
        <v>1945</v>
      </c>
      <c r="G46" s="60">
        <v>0</v>
      </c>
      <c r="H46" s="60">
        <v>0</v>
      </c>
      <c r="I46" s="60">
        <v>0</v>
      </c>
      <c r="J46" s="181">
        <v>0</v>
      </c>
    </row>
    <row r="47" spans="2:10" x14ac:dyDescent="0.25">
      <c r="B47" s="23" t="s">
        <v>1</v>
      </c>
      <c r="C47" s="60" t="e">
        <f>#REF!/1000000</f>
        <v>#REF!</v>
      </c>
      <c r="D47" s="60" t="e">
        <f>#REF!/1000000</f>
        <v>#REF!</v>
      </c>
      <c r="E47" s="60" t="e">
        <f>#REF!/1000000</f>
        <v>#REF!</v>
      </c>
      <c r="F47" s="60">
        <v>834</v>
      </c>
      <c r="G47" s="60">
        <v>126.555504</v>
      </c>
      <c r="H47" s="60">
        <v>102.603596</v>
      </c>
      <c r="I47" s="60">
        <v>101.41379499999999</v>
      </c>
      <c r="J47" s="181">
        <v>115.470027</v>
      </c>
    </row>
    <row r="48" spans="2:10" x14ac:dyDescent="0.25">
      <c r="B48" s="23" t="s">
        <v>2</v>
      </c>
      <c r="C48" s="60" t="e">
        <f>+#REF!/1000000+#REF!/1000000</f>
        <v>#REF!</v>
      </c>
      <c r="D48" s="60" t="e">
        <f>+#REF!/1000000+#REF!/1000000</f>
        <v>#REF!</v>
      </c>
      <c r="E48" s="60" t="e">
        <f>+#REF!/1000000+#REF!/1000000</f>
        <v>#REF!</v>
      </c>
      <c r="F48" s="60">
        <v>116946</v>
      </c>
      <c r="G48" s="60">
        <v>113592.977488</v>
      </c>
      <c r="H48" s="60">
        <v>109843.972809</v>
      </c>
      <c r="I48" s="60">
        <v>111643.90101500001</v>
      </c>
      <c r="J48" s="181">
        <v>111305.77807</v>
      </c>
    </row>
    <row r="49" spans="2:10" x14ac:dyDescent="0.25">
      <c r="B49" s="21" t="s">
        <v>3</v>
      </c>
      <c r="C49" s="60" t="e">
        <f>+#REF!/1000000</f>
        <v>#REF!</v>
      </c>
      <c r="D49" s="60" t="e">
        <f>+#REF!/1000000</f>
        <v>#REF!</v>
      </c>
      <c r="E49" s="60" t="e">
        <f>+#REF!/1000000</f>
        <v>#REF!</v>
      </c>
      <c r="F49" s="60">
        <v>1947</v>
      </c>
      <c r="G49" s="60">
        <v>1584.2375400000001</v>
      </c>
      <c r="H49" s="60">
        <v>2598.2017340000002</v>
      </c>
      <c r="I49" s="60">
        <v>2609.5785540000002</v>
      </c>
      <c r="J49" s="181">
        <v>2593.5849680000001</v>
      </c>
    </row>
    <row r="50" spans="2:10" x14ac:dyDescent="0.25">
      <c r="B50" s="21" t="s">
        <v>26</v>
      </c>
      <c r="C50" s="60"/>
      <c r="D50" s="60" t="e">
        <f>#REF!/1000000</f>
        <v>#REF!</v>
      </c>
      <c r="E50" s="60" t="e">
        <f>#REF!/1000000</f>
        <v>#REF!</v>
      </c>
      <c r="F50" s="60">
        <v>0</v>
      </c>
      <c r="G50" s="60">
        <v>0.42673299999999997</v>
      </c>
      <c r="H50" s="60">
        <v>0.42673299999999997</v>
      </c>
      <c r="I50" s="60">
        <v>0</v>
      </c>
      <c r="J50" s="181">
        <v>0</v>
      </c>
    </row>
    <row r="51" spans="2:10" x14ac:dyDescent="0.25">
      <c r="B51" s="21" t="s">
        <v>4</v>
      </c>
      <c r="C51" s="60" t="e">
        <f>+#REF!/1000000</f>
        <v>#REF!</v>
      </c>
      <c r="D51" s="60" t="e">
        <f>+#REF!/1000000</f>
        <v>#REF!</v>
      </c>
      <c r="E51" s="60" t="e">
        <f>+#REF!/1000000</f>
        <v>#REF!</v>
      </c>
      <c r="F51" s="60">
        <v>115</v>
      </c>
      <c r="G51" s="60">
        <v>68.624769000000001</v>
      </c>
      <c r="H51" s="60">
        <v>64.831084000000004</v>
      </c>
      <c r="I51" s="60">
        <v>89.364864999999995</v>
      </c>
      <c r="J51" s="181">
        <v>92.363021000000003</v>
      </c>
    </row>
    <row r="52" spans="2:10" x14ac:dyDescent="0.25">
      <c r="B52" s="21" t="s">
        <v>5</v>
      </c>
      <c r="C52" s="60" t="e">
        <f>+#REF!/1000000</f>
        <v>#REF!</v>
      </c>
      <c r="D52" s="60" t="e">
        <f>+#REF!/1000000</f>
        <v>#REF!</v>
      </c>
      <c r="E52" s="60" t="e">
        <f>+#REF!/1000000</f>
        <v>#REF!</v>
      </c>
      <c r="F52" s="60">
        <v>50746</v>
      </c>
      <c r="G52" s="60">
        <v>64873.455680999999</v>
      </c>
      <c r="H52" s="60">
        <v>54228.792524999997</v>
      </c>
      <c r="I52" s="60">
        <v>61515.384037999997</v>
      </c>
      <c r="J52" s="181">
        <v>57858.351773000002</v>
      </c>
    </row>
    <row r="53" spans="2:10" x14ac:dyDescent="0.25">
      <c r="B53" s="21" t="s">
        <v>58</v>
      </c>
      <c r="C53" s="61" t="e">
        <f>+#REF!/1000000</f>
        <v>#REF!</v>
      </c>
      <c r="D53" s="61" t="e">
        <f>+#REF!/1000000</f>
        <v>#REF!</v>
      </c>
      <c r="E53" s="61" t="e">
        <f>+#REF!/1000000</f>
        <v>#REF!</v>
      </c>
      <c r="F53" s="61">
        <v>6476</v>
      </c>
      <c r="G53" s="61">
        <v>4736.1109939999997</v>
      </c>
      <c r="H53" s="61">
        <v>8571.3010149999991</v>
      </c>
      <c r="I53" s="61">
        <v>13149.809164</v>
      </c>
      <c r="J53" s="184">
        <v>73335.097131999995</v>
      </c>
    </row>
    <row r="54" spans="2:10" s="20" customFormat="1" x14ac:dyDescent="0.25">
      <c r="B54" s="34" t="s">
        <v>24</v>
      </c>
      <c r="C54" s="35" t="e">
        <f t="shared" ref="C54" si="13">SUM(C46:C53)</f>
        <v>#REF!</v>
      </c>
      <c r="D54" s="35" t="e">
        <f t="shared" ref="D54:E54" si="14">SUM(D46:D53)</f>
        <v>#REF!</v>
      </c>
      <c r="E54" s="35" t="e">
        <f t="shared" si="14"/>
        <v>#REF!</v>
      </c>
      <c r="F54" s="35">
        <v>179009</v>
      </c>
      <c r="G54" s="59">
        <v>184982.38870899999</v>
      </c>
      <c r="H54" s="35">
        <v>175410.12949600001</v>
      </c>
      <c r="I54" s="59">
        <v>189109.45143100002</v>
      </c>
      <c r="J54" s="192">
        <v>245300.64499099998</v>
      </c>
    </row>
    <row r="55" spans="2:10" x14ac:dyDescent="0.25">
      <c r="B55" s="23"/>
      <c r="C55" s="22"/>
      <c r="D55" s="22"/>
      <c r="E55" s="22"/>
      <c r="F55" s="22"/>
      <c r="G55" s="22"/>
      <c r="H55" s="22"/>
      <c r="I55" s="22"/>
      <c r="J55" s="180"/>
    </row>
    <row r="56" spans="2:10" x14ac:dyDescent="0.25">
      <c r="B56" s="23" t="s">
        <v>6</v>
      </c>
      <c r="C56" s="36" t="e">
        <f>(#REF!)/1000000</f>
        <v>#REF!</v>
      </c>
      <c r="D56" s="60" t="e">
        <f>(#REF!)/1000000</f>
        <v>#REF!</v>
      </c>
      <c r="E56" s="60" t="e">
        <f>(#REF!)/1000000</f>
        <v>#REF!</v>
      </c>
      <c r="F56" s="60">
        <v>52000</v>
      </c>
      <c r="G56" s="60">
        <v>52000</v>
      </c>
      <c r="H56" s="60">
        <v>52000</v>
      </c>
      <c r="I56" s="60">
        <v>52000</v>
      </c>
      <c r="J56" s="181">
        <v>52000</v>
      </c>
    </row>
    <row r="57" spans="2:10" x14ac:dyDescent="0.25">
      <c r="B57" s="23" t="s">
        <v>91</v>
      </c>
      <c r="C57" s="60" t="e">
        <f>SUM(#REF!)/1000000</f>
        <v>#REF!</v>
      </c>
      <c r="D57" s="60" t="e">
        <f>SUM(#REF!)/1000000</f>
        <v>#REF!</v>
      </c>
      <c r="E57" s="60" t="e">
        <f>SUM(#REF!)/1000000</f>
        <v>#REF!</v>
      </c>
      <c r="F57" s="60">
        <v>39184</v>
      </c>
      <c r="G57" s="60">
        <v>40739.780777</v>
      </c>
      <c r="H57" s="60">
        <v>42160.268071999999</v>
      </c>
      <c r="I57" s="60">
        <v>46435.559115999997</v>
      </c>
      <c r="J57" s="181">
        <v>47829.561124</v>
      </c>
    </row>
    <row r="58" spans="2:10" x14ac:dyDescent="0.25">
      <c r="B58" s="23" t="s">
        <v>7</v>
      </c>
      <c r="C58" s="60" t="e">
        <f>#REF!/1000000</f>
        <v>#REF!</v>
      </c>
      <c r="D58" s="60" t="e">
        <f>#REF!/1000000</f>
        <v>#REF!</v>
      </c>
      <c r="E58" s="60" t="e">
        <f>#REF!/1000000</f>
        <v>#REF!</v>
      </c>
      <c r="F58" s="60">
        <v>0</v>
      </c>
      <c r="G58" s="60">
        <v>0</v>
      </c>
      <c r="H58" s="60">
        <v>0</v>
      </c>
      <c r="I58" s="60">
        <v>0</v>
      </c>
      <c r="J58" s="181">
        <v>0</v>
      </c>
    </row>
    <row r="59" spans="2:10" x14ac:dyDescent="0.25">
      <c r="B59" s="23" t="s">
        <v>96</v>
      </c>
      <c r="C59" s="60" t="e">
        <f t="shared" ref="C59" si="15">C40</f>
        <v>#REF!</v>
      </c>
      <c r="D59" s="60" t="e">
        <f>#REF!/1000000</f>
        <v>#REF!</v>
      </c>
      <c r="E59" s="60" t="e">
        <f>#REF!/1000000</f>
        <v>#REF!</v>
      </c>
      <c r="F59" s="60">
        <v>1556</v>
      </c>
      <c r="G59" s="60">
        <v>1420.4872949999999</v>
      </c>
      <c r="H59" s="60">
        <v>6275.2910439999996</v>
      </c>
      <c r="I59" s="60">
        <v>13940.020075</v>
      </c>
      <c r="J59" s="181">
        <v>10561.087932</v>
      </c>
    </row>
    <row r="60" spans="2:10" s="20" customFormat="1" x14ac:dyDescent="0.25">
      <c r="B60" s="57" t="s">
        <v>90</v>
      </c>
      <c r="C60" s="62" t="e">
        <f t="shared" ref="C60:E60" si="16">SUM(C56:C58,C59)</f>
        <v>#REF!</v>
      </c>
      <c r="D60" s="62" t="e">
        <f t="shared" si="16"/>
        <v>#REF!</v>
      </c>
      <c r="E60" s="62" t="e">
        <f t="shared" si="16"/>
        <v>#REF!</v>
      </c>
      <c r="F60" s="62">
        <v>92740</v>
      </c>
      <c r="G60" s="62">
        <v>94160.268072000006</v>
      </c>
      <c r="H60" s="62">
        <v>100435.559116</v>
      </c>
      <c r="I60" s="62">
        <v>112375.579191</v>
      </c>
      <c r="J60" s="193">
        <v>110390.64905599999</v>
      </c>
    </row>
    <row r="61" spans="2:10" x14ac:dyDescent="0.25">
      <c r="B61" s="23" t="s">
        <v>146</v>
      </c>
      <c r="C61" s="60"/>
      <c r="D61" s="60" t="e">
        <f>#REF!/1000000</f>
        <v>#REF!</v>
      </c>
      <c r="E61" s="60" t="e">
        <f>#REF!/1000000</f>
        <v>#REF!</v>
      </c>
      <c r="F61" s="60">
        <v>2004</v>
      </c>
      <c r="G61" s="60">
        <v>1503.0844199999999</v>
      </c>
      <c r="H61" s="60">
        <v>1002.05628</v>
      </c>
      <c r="I61" s="60">
        <v>501.02814000000001</v>
      </c>
      <c r="J61" s="181">
        <v>0</v>
      </c>
    </row>
    <row r="62" spans="2:10" x14ac:dyDescent="0.25">
      <c r="B62" s="23" t="s">
        <v>85</v>
      </c>
      <c r="C62" s="60" t="e">
        <f>#REF!/1000000</f>
        <v>#REF!</v>
      </c>
      <c r="D62" s="60" t="e">
        <f>#REF!/1000000</f>
        <v>#REF!</v>
      </c>
      <c r="E62" s="60" t="e">
        <f>#REF!/1000000</f>
        <v>#REF!</v>
      </c>
      <c r="F62" s="60">
        <v>0</v>
      </c>
      <c r="G62" s="60">
        <v>0</v>
      </c>
      <c r="H62" s="60">
        <v>0</v>
      </c>
      <c r="I62" s="60">
        <v>0</v>
      </c>
      <c r="J62" s="181">
        <v>0</v>
      </c>
    </row>
    <row r="63" spans="2:10" s="20" customFormat="1" x14ac:dyDescent="0.25">
      <c r="B63" s="57" t="s">
        <v>110</v>
      </c>
      <c r="C63" s="62" t="e">
        <f>C60+C62</f>
        <v>#REF!</v>
      </c>
      <c r="D63" s="62" t="e">
        <f>D60+SUM(D61:D62)</f>
        <v>#REF!</v>
      </c>
      <c r="E63" s="62" t="e">
        <f t="shared" ref="E63" si="17">E60+SUM(E61:E62)</f>
        <v>#REF!</v>
      </c>
      <c r="F63" s="62">
        <v>94744</v>
      </c>
      <c r="G63" s="62">
        <v>95663.352492000005</v>
      </c>
      <c r="H63" s="62">
        <v>101437.61539600001</v>
      </c>
      <c r="I63" s="62">
        <v>112876.60733099999</v>
      </c>
      <c r="J63" s="193">
        <v>110390.64905599999</v>
      </c>
    </row>
    <row r="64" spans="2:10" x14ac:dyDescent="0.25">
      <c r="B64" s="21" t="s">
        <v>59</v>
      </c>
      <c r="C64" s="60" t="e">
        <f>(#REF!)/1000000</f>
        <v>#REF!</v>
      </c>
      <c r="D64" s="60" t="e">
        <f>(#REF!)/1000000</f>
        <v>#REF!</v>
      </c>
      <c r="E64" s="60" t="e">
        <f>(#REF!)/1000000</f>
        <v>#REF!</v>
      </c>
      <c r="F64" s="60">
        <v>50343</v>
      </c>
      <c r="G64" s="60">
        <v>44170.072934999997</v>
      </c>
      <c r="H64" s="60">
        <v>33252.316633000002</v>
      </c>
      <c r="I64" s="60">
        <v>39103.371370000001</v>
      </c>
      <c r="J64" s="181">
        <v>96314.137377000006</v>
      </c>
    </row>
    <row r="65" spans="2:11" x14ac:dyDescent="0.25">
      <c r="B65" s="21" t="s">
        <v>27</v>
      </c>
      <c r="C65" s="60" t="e">
        <f>(#REF!)/1000000</f>
        <v>#REF!</v>
      </c>
      <c r="D65" s="60" t="e">
        <f>(#REF!)/1000000</f>
        <v>#REF!</v>
      </c>
      <c r="E65" s="60" t="e">
        <f>(#REF!)/1000000</f>
        <v>#REF!</v>
      </c>
      <c r="F65" s="60">
        <v>603</v>
      </c>
      <c r="G65" s="60">
        <v>425.085667</v>
      </c>
      <c r="H65" s="60">
        <v>3521.2210089999999</v>
      </c>
      <c r="I65" s="60">
        <v>4226.9065140000002</v>
      </c>
      <c r="J65" s="181">
        <v>1562.692587</v>
      </c>
    </row>
    <row r="66" spans="2:11" x14ac:dyDescent="0.25">
      <c r="B66" s="21" t="s">
        <v>8</v>
      </c>
      <c r="C66" s="60" t="e">
        <f>(#REF!)/1000000</f>
        <v>#REF!</v>
      </c>
      <c r="D66" s="60" t="e">
        <f>(#REF!)/1000000</f>
        <v>#REF!</v>
      </c>
      <c r="E66" s="60" t="e">
        <f>(#REF!)/1000000</f>
        <v>#REF!</v>
      </c>
      <c r="F66" s="60">
        <v>330</v>
      </c>
      <c r="G66" s="60">
        <v>356.03439200000003</v>
      </c>
      <c r="H66" s="60">
        <v>142.84589399999999</v>
      </c>
      <c r="I66" s="60">
        <v>559.36985700000002</v>
      </c>
      <c r="J66" s="181">
        <v>86.611457999999999</v>
      </c>
    </row>
    <row r="67" spans="2:11" x14ac:dyDescent="0.25">
      <c r="B67" s="21" t="s">
        <v>9</v>
      </c>
      <c r="C67" s="60" t="e">
        <f>(#REF!)/1000000</f>
        <v>#REF!</v>
      </c>
      <c r="D67" s="60" t="e">
        <f>(#REF!)/1000000</f>
        <v>#REF!</v>
      </c>
      <c r="E67" s="60" t="e">
        <f>(#REF!)/1000000</f>
        <v>#REF!</v>
      </c>
      <c r="F67" s="60">
        <v>4774</v>
      </c>
      <c r="G67" s="60">
        <v>7383.6810919999998</v>
      </c>
      <c r="H67" s="60">
        <v>8144.5751</v>
      </c>
      <c r="I67" s="60">
        <v>7074.7834849999999</v>
      </c>
      <c r="J67" s="181">
        <v>4504.0142400000004</v>
      </c>
    </row>
    <row r="68" spans="2:11" x14ac:dyDescent="0.25">
      <c r="B68" s="21" t="s">
        <v>10</v>
      </c>
      <c r="C68" s="60" t="e">
        <f>(#REF!)/1000000</f>
        <v>#REF!</v>
      </c>
      <c r="D68" s="60" t="e">
        <f>(#REF!)/1000000</f>
        <v>#REF!</v>
      </c>
      <c r="E68" s="60" t="e">
        <f>(#REF!)/1000000</f>
        <v>#REF!</v>
      </c>
      <c r="F68" s="60">
        <v>8220</v>
      </c>
      <c r="G68" s="60">
        <v>14964.671247</v>
      </c>
      <c r="H68" s="60">
        <v>16706.774941</v>
      </c>
      <c r="I68" s="60">
        <v>21099.571263999998</v>
      </c>
      <c r="J68" s="181">
        <v>17139.293258999998</v>
      </c>
    </row>
    <row r="69" spans="2:11" x14ac:dyDescent="0.25">
      <c r="B69" s="21" t="s">
        <v>11</v>
      </c>
      <c r="C69" s="60" t="e">
        <f>(#REF!)/1000000</f>
        <v>#REF!</v>
      </c>
      <c r="D69" s="60" t="e">
        <f>(#REF!)/1000000</f>
        <v>#REF!</v>
      </c>
      <c r="E69" s="60" t="e">
        <f>(#REF!)/1000000</f>
        <v>#REF!</v>
      </c>
      <c r="F69" s="60">
        <v>2987</v>
      </c>
      <c r="G69" s="60">
        <v>0</v>
      </c>
      <c r="H69" s="60">
        <v>0</v>
      </c>
      <c r="I69" s="60">
        <v>0</v>
      </c>
      <c r="J69" s="181">
        <v>0</v>
      </c>
    </row>
    <row r="70" spans="2:11" x14ac:dyDescent="0.25">
      <c r="B70" s="21" t="s">
        <v>12</v>
      </c>
      <c r="C70" s="60" t="e">
        <f>(#REF!)/1000000+#REF!/1000000</f>
        <v>#REF!</v>
      </c>
      <c r="D70" s="60" t="e">
        <f>(#REF!)/1000000+#REF!/1000000</f>
        <v>#REF!</v>
      </c>
      <c r="E70" s="60" t="e">
        <f>(#REF!)/1000000+#REF!/1000000</f>
        <v>#REF!</v>
      </c>
      <c r="F70" s="60">
        <v>1694</v>
      </c>
      <c r="G70" s="60">
        <v>3047.347303</v>
      </c>
      <c r="H70" s="60">
        <v>2981.099451</v>
      </c>
      <c r="I70" s="60">
        <v>3813.9175009999999</v>
      </c>
      <c r="J70" s="181">
        <v>5276.4791939999996</v>
      </c>
    </row>
    <row r="71" spans="2:11" x14ac:dyDescent="0.25">
      <c r="B71" s="21" t="s">
        <v>60</v>
      </c>
      <c r="C71" s="61" t="e">
        <f>(#REF!)/1000000</f>
        <v>#REF!</v>
      </c>
      <c r="D71" s="61" t="e">
        <f>(#REF!)/1000000</f>
        <v>#REF!</v>
      </c>
      <c r="E71" s="61" t="e">
        <f>(#REF!)/1000000</f>
        <v>#REF!</v>
      </c>
      <c r="F71" s="61">
        <v>15314</v>
      </c>
      <c r="G71" s="61">
        <v>18972.143581</v>
      </c>
      <c r="H71" s="61">
        <v>9223.6810719999994</v>
      </c>
      <c r="I71" s="61">
        <v>354.92410899999999</v>
      </c>
      <c r="J71" s="184">
        <v>10026.767819999999</v>
      </c>
    </row>
    <row r="72" spans="2:11" s="20" customFormat="1" x14ac:dyDescent="0.25">
      <c r="B72" s="34" t="s">
        <v>25</v>
      </c>
      <c r="C72" s="35" t="e">
        <f t="shared" ref="C72:E72" si="18">SUM(C63:C71)</f>
        <v>#REF!</v>
      </c>
      <c r="D72" s="35" t="e">
        <f t="shared" si="18"/>
        <v>#REF!</v>
      </c>
      <c r="E72" s="35" t="e">
        <f t="shared" si="18"/>
        <v>#REF!</v>
      </c>
      <c r="F72" s="35">
        <v>179009</v>
      </c>
      <c r="G72" s="59">
        <v>184982.38870900002</v>
      </c>
      <c r="H72" s="35">
        <v>175410.12949600001</v>
      </c>
      <c r="I72" s="59">
        <v>189109.45143099999</v>
      </c>
      <c r="J72" s="192">
        <v>245300.64499100001</v>
      </c>
      <c r="K72" s="17"/>
    </row>
    <row r="73" spans="2:11" x14ac:dyDescent="0.25">
      <c r="C73" s="32"/>
      <c r="D73" s="22"/>
      <c r="H73" s="33"/>
      <c r="I73" s="17"/>
      <c r="J73" s="17"/>
    </row>
    <row r="74" spans="2:11" x14ac:dyDescent="0.25">
      <c r="C74" s="32"/>
      <c r="D74" s="22"/>
      <c r="H74" s="33"/>
      <c r="I74" s="17"/>
      <c r="J74" s="17"/>
    </row>
    <row r="75" spans="2:11" s="20" customFormat="1" x14ac:dyDescent="0.25">
      <c r="B75" s="18" t="s">
        <v>63</v>
      </c>
      <c r="C75" s="19">
        <v>41639</v>
      </c>
      <c r="D75" s="19">
        <v>42004</v>
      </c>
      <c r="E75" s="155">
        <v>2015</v>
      </c>
      <c r="F75" s="155">
        <v>2016</v>
      </c>
      <c r="G75" s="155">
        <v>2017</v>
      </c>
      <c r="H75" s="155">
        <v>2018</v>
      </c>
      <c r="I75" s="155">
        <v>2019</v>
      </c>
      <c r="J75" s="179">
        <v>2020</v>
      </c>
    </row>
    <row r="76" spans="2:11" x14ac:dyDescent="0.25">
      <c r="B76" s="21"/>
      <c r="C76" s="22"/>
      <c r="D76" s="22"/>
      <c r="E76" s="22"/>
      <c r="F76" s="22"/>
      <c r="G76" s="22"/>
      <c r="H76" s="22"/>
      <c r="I76" s="22"/>
      <c r="J76" s="180"/>
    </row>
    <row r="77" spans="2:11" s="20" customFormat="1" x14ac:dyDescent="0.25">
      <c r="B77" s="68" t="s">
        <v>111</v>
      </c>
      <c r="C77" s="58">
        <v>296328</v>
      </c>
      <c r="D77" s="117">
        <v>17837</v>
      </c>
      <c r="E77" s="117">
        <v>1878</v>
      </c>
      <c r="F77" s="117">
        <v>5710</v>
      </c>
      <c r="G77" s="117">
        <v>6420</v>
      </c>
      <c r="H77" s="117">
        <v>10659</v>
      </c>
      <c r="I77" s="117">
        <v>19063.942999999999</v>
      </c>
      <c r="J77" s="194">
        <v>16571.33394</v>
      </c>
    </row>
    <row r="78" spans="2:11" x14ac:dyDescent="0.25">
      <c r="B78" s="69" t="s">
        <v>97</v>
      </c>
      <c r="C78" s="22">
        <v>-38586</v>
      </c>
      <c r="D78" s="65">
        <f>-17840-9255</f>
        <v>-27095</v>
      </c>
      <c r="E78" s="65">
        <f>-3236-368</f>
        <v>-3604</v>
      </c>
      <c r="F78" s="65">
        <v>10068</v>
      </c>
      <c r="G78" s="65">
        <v>-9363</v>
      </c>
      <c r="H78" s="65">
        <v>15961</v>
      </c>
      <c r="I78" s="65">
        <v>-2040.36</v>
      </c>
      <c r="J78" s="195">
        <v>-8097.4418409999998</v>
      </c>
    </row>
    <row r="79" spans="2:11" x14ac:dyDescent="0.25">
      <c r="B79" s="69" t="s">
        <v>98</v>
      </c>
      <c r="C79" s="30">
        <v>0</v>
      </c>
      <c r="D79" s="65">
        <v>-47297</v>
      </c>
      <c r="E79" s="65">
        <v>-4855</v>
      </c>
      <c r="F79" s="65">
        <v>-3621</v>
      </c>
      <c r="G79" s="65">
        <v>3090</v>
      </c>
      <c r="H79" s="65">
        <v>-2503</v>
      </c>
      <c r="I79" s="65">
        <v>-6828.3</v>
      </c>
      <c r="J79" s="195">
        <v>-5472.7670680000001</v>
      </c>
    </row>
    <row r="80" spans="2:11" x14ac:dyDescent="0.25">
      <c r="B80" s="69" t="s">
        <v>99</v>
      </c>
      <c r="C80" s="22"/>
      <c r="D80" s="65">
        <v>-6961</v>
      </c>
      <c r="E80" s="65">
        <v>-6676</v>
      </c>
      <c r="F80" s="65">
        <v>-10735</v>
      </c>
      <c r="G80" s="65">
        <v>-9783</v>
      </c>
      <c r="H80" s="65">
        <v>-11722</v>
      </c>
      <c r="I80" s="65">
        <v>-20187.218000000001</v>
      </c>
      <c r="J80" s="195">
        <v>-9244.4126140000008</v>
      </c>
    </row>
    <row r="81" spans="2:10" x14ac:dyDescent="0.25">
      <c r="B81" s="69" t="s">
        <v>100</v>
      </c>
      <c r="C81" s="22"/>
      <c r="D81" s="65">
        <v>43242</v>
      </c>
      <c r="E81" s="65">
        <v>3135</v>
      </c>
      <c r="F81" s="65">
        <v>1831</v>
      </c>
      <c r="G81" s="65">
        <v>4239</v>
      </c>
      <c r="H81" s="65">
        <v>1189</v>
      </c>
      <c r="I81" s="65">
        <v>25439.25</v>
      </c>
      <c r="J81" s="195">
        <v>65756.731839999993</v>
      </c>
    </row>
    <row r="82" spans="2:10" x14ac:dyDescent="0.25">
      <c r="B82" s="69" t="s">
        <v>101</v>
      </c>
      <c r="C82" s="22"/>
      <c r="D82" s="65"/>
      <c r="E82" s="65"/>
      <c r="F82" s="65"/>
      <c r="G82" s="65"/>
      <c r="H82" s="65"/>
      <c r="I82" s="65"/>
      <c r="J82" s="195"/>
    </row>
    <row r="83" spans="2:10" x14ac:dyDescent="0.25">
      <c r="B83" s="69" t="s">
        <v>102</v>
      </c>
      <c r="C83" s="22"/>
      <c r="D83" s="65"/>
      <c r="E83" s="65"/>
      <c r="F83" s="65"/>
      <c r="G83" s="65"/>
      <c r="H83" s="65"/>
      <c r="I83" s="65">
        <v>-2000</v>
      </c>
      <c r="J83" s="195">
        <v>-9000</v>
      </c>
    </row>
    <row r="84" spans="2:10" x14ac:dyDescent="0.25">
      <c r="B84" s="68" t="s">
        <v>103</v>
      </c>
      <c r="C84" s="22"/>
      <c r="D84" s="118">
        <f t="shared" ref="D84:E84" si="19">D77+SUM(D78:D83)</f>
        <v>-20274</v>
      </c>
      <c r="E84" s="118">
        <f t="shared" si="19"/>
        <v>-10122</v>
      </c>
      <c r="F84" s="118">
        <v>3253</v>
      </c>
      <c r="G84" s="118">
        <v>-5397</v>
      </c>
      <c r="H84" s="118">
        <v>13584</v>
      </c>
      <c r="I84" s="118">
        <v>13447.314999999999</v>
      </c>
      <c r="J84" s="196">
        <v>50513.444256999996</v>
      </c>
    </row>
    <row r="85" spans="2:10" x14ac:dyDescent="0.25">
      <c r="B85" s="69"/>
      <c r="C85" s="22"/>
      <c r="D85" s="30"/>
      <c r="E85" s="30"/>
      <c r="F85" s="30"/>
      <c r="G85" s="30"/>
      <c r="H85" s="30"/>
      <c r="I85" s="30"/>
      <c r="J85" s="31"/>
    </row>
    <row r="86" spans="2:10" x14ac:dyDescent="0.25">
      <c r="B86" s="132" t="s">
        <v>104</v>
      </c>
      <c r="C86" s="36"/>
      <c r="D86" s="136" t="s">
        <v>153</v>
      </c>
      <c r="E86" s="64">
        <v>-1970</v>
      </c>
      <c r="F86" s="64">
        <v>-12092</v>
      </c>
      <c r="G86" s="64">
        <v>-8839</v>
      </c>
      <c r="H86" s="64">
        <v>-14236</v>
      </c>
      <c r="I86" s="64">
        <v>-652</v>
      </c>
      <c r="J86" s="190">
        <v>12795.314999999999</v>
      </c>
    </row>
    <row r="87" spans="2:10" x14ac:dyDescent="0.25">
      <c r="B87" s="133" t="s">
        <v>107</v>
      </c>
      <c r="C87" s="134"/>
      <c r="D87" s="137" t="e">
        <f>D86+D84</f>
        <v>#VALUE!</v>
      </c>
      <c r="E87" s="154">
        <f t="shared" ref="E87" si="20">E86+E84</f>
        <v>-12092</v>
      </c>
      <c r="F87" s="154">
        <v>-8839</v>
      </c>
      <c r="G87" s="154">
        <v>-14236</v>
      </c>
      <c r="H87" s="154">
        <v>-652</v>
      </c>
      <c r="I87" s="154">
        <v>12795.314999999999</v>
      </c>
      <c r="J87" s="197">
        <v>63308.759256999998</v>
      </c>
    </row>
    <row r="88" spans="2:10" x14ac:dyDescent="0.25">
      <c r="B88" s="114" t="s">
        <v>106</v>
      </c>
      <c r="C88" s="115"/>
      <c r="D88" s="116" t="e">
        <f>(D53-D71)-D87</f>
        <v>#REF!</v>
      </c>
      <c r="E88" s="116" t="e">
        <f>(E53-E71)-E87</f>
        <v>#REF!</v>
      </c>
      <c r="F88" s="116">
        <v>1</v>
      </c>
      <c r="G88" s="116">
        <v>-3.2587000001512934E-2</v>
      </c>
      <c r="H88" s="116">
        <v>-0.38005700000030629</v>
      </c>
      <c r="I88" s="116">
        <v>-0.42994499999804248</v>
      </c>
      <c r="J88" s="198">
        <v>-0.42994500000349944</v>
      </c>
    </row>
    <row r="89" spans="2:10" s="20" customFormat="1" x14ac:dyDescent="0.25">
      <c r="B89" s="37" t="s">
        <v>92</v>
      </c>
      <c r="C89" s="38" t="e">
        <f>(Ratio!C36)</f>
        <v>#REF!</v>
      </c>
      <c r="D89" s="59" t="e">
        <f>D64+D53-D71</f>
        <v>#REF!</v>
      </c>
      <c r="E89" s="59" t="e">
        <f>E64+E71-E53</f>
        <v>#REF!</v>
      </c>
      <c r="F89" s="59">
        <v>59181</v>
      </c>
      <c r="G89" s="59">
        <v>58406.105521999998</v>
      </c>
      <c r="H89" s="59">
        <v>33904.696690000004</v>
      </c>
      <c r="I89" s="59">
        <v>26308.486315000002</v>
      </c>
      <c r="J89" s="192">
        <v>33005.808065000005</v>
      </c>
    </row>
    <row r="90" spans="2:10" x14ac:dyDescent="0.25">
      <c r="D90" s="33"/>
      <c r="E90" s="32" t="e">
        <f>E53-E71-E87</f>
        <v>#REF!</v>
      </c>
      <c r="F90" s="32">
        <v>1</v>
      </c>
      <c r="G90" s="32">
        <v>-3.2587000001512934E-2</v>
      </c>
      <c r="H90" s="32">
        <v>-0.38005700000030629</v>
      </c>
      <c r="I90" s="32">
        <v>-0.42994499999804248</v>
      </c>
      <c r="J90" s="32">
        <v>-0.42994500000349944</v>
      </c>
    </row>
    <row r="91" spans="2:10" x14ac:dyDescent="0.25">
      <c r="D91" s="33"/>
      <c r="H91" s="33"/>
      <c r="I91" s="17"/>
      <c r="J91" s="17"/>
    </row>
    <row r="92" spans="2:10" s="20" customFormat="1" x14ac:dyDescent="0.25">
      <c r="B92" s="18" t="s">
        <v>112</v>
      </c>
      <c r="C92" s="19">
        <v>41639</v>
      </c>
      <c r="D92" s="19">
        <v>42004</v>
      </c>
      <c r="E92" s="155">
        <v>2015</v>
      </c>
      <c r="F92" s="155">
        <v>2016</v>
      </c>
      <c r="G92" s="155">
        <v>2017</v>
      </c>
      <c r="H92" s="155">
        <v>2018</v>
      </c>
      <c r="I92" s="155">
        <v>2019</v>
      </c>
      <c r="J92" s="179">
        <v>2020</v>
      </c>
    </row>
    <row r="93" spans="2:10" x14ac:dyDescent="0.25">
      <c r="B93" s="23" t="s">
        <v>56</v>
      </c>
      <c r="C93" s="39"/>
      <c r="D93" s="120" t="s">
        <v>105</v>
      </c>
      <c r="E93" s="119" t="e">
        <f>((E5-D5)/D5)*100</f>
        <v>#REF!</v>
      </c>
      <c r="F93" s="119">
        <v>14.564635884102897</v>
      </c>
      <c r="G93" s="119">
        <v>7.4024398673271268</v>
      </c>
      <c r="H93" s="119">
        <v>14.499946616263545</v>
      </c>
      <c r="I93" s="119">
        <v>8.9330957404158973</v>
      </c>
      <c r="J93" s="204">
        <v>-2.6818602588917764</v>
      </c>
    </row>
    <row r="94" spans="2:10" x14ac:dyDescent="0.25">
      <c r="B94" s="23" t="s">
        <v>20</v>
      </c>
      <c r="C94" s="39"/>
      <c r="D94" s="120" t="s">
        <v>105</v>
      </c>
      <c r="E94" s="120" t="s">
        <v>105</v>
      </c>
      <c r="F94" s="120" t="s">
        <v>105</v>
      </c>
      <c r="G94" s="120" t="s">
        <v>105</v>
      </c>
      <c r="H94" s="120" t="s">
        <v>105</v>
      </c>
      <c r="I94" s="120" t="s">
        <v>105</v>
      </c>
      <c r="J94" s="210" t="s">
        <v>105</v>
      </c>
    </row>
    <row r="95" spans="2:10" x14ac:dyDescent="0.25">
      <c r="B95" s="23" t="s">
        <v>21</v>
      </c>
      <c r="C95" s="39"/>
      <c r="D95" s="120" t="s">
        <v>105</v>
      </c>
      <c r="E95" s="121" t="e">
        <f>((E8-D8)/D8)*100</f>
        <v>#REF!</v>
      </c>
      <c r="F95" s="121">
        <v>67.365028203062053</v>
      </c>
      <c r="G95" s="121">
        <v>65.038192055849791</v>
      </c>
      <c r="H95" s="121">
        <v>-16.87697201932351</v>
      </c>
      <c r="I95" s="121">
        <v>10.223785843797515</v>
      </c>
      <c r="J95" s="202">
        <v>156.07983942096851</v>
      </c>
    </row>
    <row r="96" spans="2:10" x14ac:dyDescent="0.25">
      <c r="B96" s="23" t="s">
        <v>52</v>
      </c>
      <c r="C96" s="39"/>
      <c r="D96" s="120" t="s">
        <v>105</v>
      </c>
      <c r="E96" s="121" t="e">
        <f>((E9-D9)/D9)*100</f>
        <v>#REF!</v>
      </c>
      <c r="F96" s="121">
        <v>16.153435817855584</v>
      </c>
      <c r="G96" s="121">
        <v>9.901384784151638</v>
      </c>
      <c r="H96" s="121">
        <v>12.457003368943045</v>
      </c>
      <c r="I96" s="121">
        <v>8.9952116485683931</v>
      </c>
      <c r="J96" s="202">
        <v>5.0448477993804222</v>
      </c>
    </row>
    <row r="97" spans="2:10" x14ac:dyDescent="0.25">
      <c r="B97" s="21" t="s">
        <v>13</v>
      </c>
      <c r="C97" s="39"/>
      <c r="D97" s="120" t="s">
        <v>105</v>
      </c>
      <c r="E97" s="121" t="e">
        <f>((E11-D11)/D11)*100</f>
        <v>#REF!</v>
      </c>
      <c r="F97" s="121">
        <v>8.1374321880650999</v>
      </c>
      <c r="G97" s="121">
        <v>7.4539993311036836</v>
      </c>
      <c r="H97" s="121">
        <v>-12.363933556763158</v>
      </c>
      <c r="I97" s="121">
        <v>5.8612390054856096</v>
      </c>
      <c r="J97" s="202">
        <v>15.156114110269053</v>
      </c>
    </row>
    <row r="98" spans="2:10" x14ac:dyDescent="0.25">
      <c r="B98" s="21" t="s">
        <v>14</v>
      </c>
      <c r="C98" s="39"/>
      <c r="D98" s="120" t="s">
        <v>105</v>
      </c>
      <c r="E98" s="121" t="e">
        <f>((E12-D12)/D12)*100</f>
        <v>#REF!</v>
      </c>
      <c r="F98" s="121">
        <v>-43.089430894308947</v>
      </c>
      <c r="G98" s="121">
        <v>-1.3221071428571514</v>
      </c>
      <c r="H98" s="121">
        <v>-44.978919869517739</v>
      </c>
      <c r="I98" s="121">
        <v>64.32358013713511</v>
      </c>
      <c r="J98" s="202">
        <v>-74.900415646684621</v>
      </c>
    </row>
    <row r="99" spans="2:10" x14ac:dyDescent="0.25">
      <c r="B99" s="21" t="s">
        <v>15</v>
      </c>
      <c r="C99" s="39"/>
      <c r="D99" s="120" t="s">
        <v>105</v>
      </c>
      <c r="E99" s="121" t="e">
        <f>((E13-D13)/D13)*100</f>
        <v>#REF!</v>
      </c>
      <c r="F99" s="121">
        <v>11.474054165805251</v>
      </c>
      <c r="G99" s="121">
        <v>-3.4065528189910919</v>
      </c>
      <c r="H99" s="121">
        <v>6.1910529540654808</v>
      </c>
      <c r="I99" s="121">
        <v>-15.831343802531608</v>
      </c>
      <c r="J99" s="202">
        <v>8.7327235687670832</v>
      </c>
    </row>
    <row r="100" spans="2:10" x14ac:dyDescent="0.25">
      <c r="B100" s="21" t="s">
        <v>17</v>
      </c>
      <c r="C100" s="39"/>
      <c r="D100" s="120" t="s">
        <v>105</v>
      </c>
      <c r="E100" s="121" t="e">
        <f>((E14-D14)/D14)*100</f>
        <v>#REF!</v>
      </c>
      <c r="F100" s="121">
        <v>75.018698578908001</v>
      </c>
      <c r="G100" s="121">
        <v>-15.23201305555556</v>
      </c>
      <c r="H100" s="121">
        <v>46.528398483717524</v>
      </c>
      <c r="I100" s="121">
        <v>-31.575517124091384</v>
      </c>
      <c r="J100" s="202">
        <v>134.37209455007371</v>
      </c>
    </row>
    <row r="101" spans="2:10" x14ac:dyDescent="0.25">
      <c r="B101" s="23" t="s">
        <v>51</v>
      </c>
      <c r="C101" s="39"/>
      <c r="D101" s="120" t="s">
        <v>105</v>
      </c>
      <c r="E101" s="121" t="e">
        <f>((E15-D15)/D15)*100</f>
        <v>#REF!</v>
      </c>
      <c r="F101" s="121">
        <v>13.547470366077105</v>
      </c>
      <c r="G101" s="121">
        <v>18.749118705130723</v>
      </c>
      <c r="H101" s="121">
        <v>12.285659454707858</v>
      </c>
      <c r="I101" s="121">
        <v>21.525387847467904</v>
      </c>
      <c r="J101" s="202">
        <v>-6.0688089696891465</v>
      </c>
    </row>
    <row r="102" spans="2:10" x14ac:dyDescent="0.25">
      <c r="B102" s="21" t="s">
        <v>16</v>
      </c>
      <c r="C102" s="39"/>
      <c r="D102" s="120" t="s">
        <v>105</v>
      </c>
      <c r="E102" s="121" t="e">
        <f>((E18-D18)/D18)*100</f>
        <v>#REF!</v>
      </c>
      <c r="F102" s="121">
        <v>86.848760748608996</v>
      </c>
      <c r="G102" s="121">
        <v>8.301639361126151</v>
      </c>
      <c r="H102" s="121">
        <v>-3.0327285103659025</v>
      </c>
      <c r="I102" s="121">
        <v>-14.925919369129218</v>
      </c>
      <c r="J102" s="202">
        <v>-6.7420663657257869</v>
      </c>
    </row>
    <row r="103" spans="2:10" x14ac:dyDescent="0.25">
      <c r="B103" s="21" t="s">
        <v>19</v>
      </c>
      <c r="C103" s="39"/>
      <c r="D103" s="120" t="s">
        <v>105</v>
      </c>
      <c r="E103" s="122" t="e">
        <f>((E19-D19)/D19)*100</f>
        <v>#REF!</v>
      </c>
      <c r="F103" s="122">
        <v>13.337366626333736</v>
      </c>
      <c r="G103" s="122">
        <v>8.8531123162032266</v>
      </c>
      <c r="H103" s="122">
        <v>2.1402005660882248</v>
      </c>
      <c r="I103" s="122">
        <v>6.4255461371559974</v>
      </c>
      <c r="J103" s="205">
        <v>15.37012907801844</v>
      </c>
    </row>
    <row r="104" spans="2:10" x14ac:dyDescent="0.25">
      <c r="B104" s="24" t="s">
        <v>53</v>
      </c>
      <c r="C104" s="40"/>
      <c r="D104" s="135" t="s">
        <v>105</v>
      </c>
      <c r="E104" s="40" t="e">
        <f>((E20-D20)/D20)*100</f>
        <v>#REF!</v>
      </c>
      <c r="F104" s="40">
        <v>-7.8827460510328073</v>
      </c>
      <c r="G104" s="40">
        <v>58.735927007419576</v>
      </c>
      <c r="H104" s="40">
        <v>42.289827935940082</v>
      </c>
      <c r="I104" s="40">
        <v>57.102868884776527</v>
      </c>
      <c r="J104" s="214">
        <v>-30.256120587635376</v>
      </c>
    </row>
    <row r="105" spans="2:10" x14ac:dyDescent="0.25">
      <c r="B105" s="23" t="s">
        <v>18</v>
      </c>
      <c r="C105" s="39"/>
      <c r="D105" s="120" t="s">
        <v>105</v>
      </c>
      <c r="E105" s="119" t="e">
        <f>((E23-D23)/D23)*100</f>
        <v>#REF!</v>
      </c>
      <c r="F105" s="119">
        <v>8.7820274786483488</v>
      </c>
      <c r="G105" s="119">
        <v>54.164132411674338</v>
      </c>
      <c r="H105" s="119">
        <v>-12.78320965129576</v>
      </c>
      <c r="I105" s="119">
        <v>-26.997989191983336</v>
      </c>
      <c r="J105" s="204">
        <v>1.1217357360137175</v>
      </c>
    </row>
    <row r="106" spans="2:10" x14ac:dyDescent="0.25">
      <c r="B106" s="23" t="s">
        <v>22</v>
      </c>
      <c r="C106" s="39"/>
      <c r="D106" s="120" t="s">
        <v>105</v>
      </c>
      <c r="E106" s="122" t="e">
        <f>((E24-D24)/D24)*100</f>
        <v>#REF!</v>
      </c>
      <c r="F106" s="122">
        <v>2146.9565217391305</v>
      </c>
      <c r="G106" s="122">
        <v>62.936719388544894</v>
      </c>
      <c r="H106" s="122">
        <v>-11.50195662926253</v>
      </c>
      <c r="I106" s="122">
        <v>-83.223282904097289</v>
      </c>
      <c r="J106" s="205">
        <v>0.56584939912289844</v>
      </c>
    </row>
    <row r="107" spans="2:10" x14ac:dyDescent="0.25">
      <c r="B107" s="24" t="s">
        <v>23</v>
      </c>
      <c r="C107" s="40"/>
      <c r="D107" s="135" t="s">
        <v>105</v>
      </c>
      <c r="E107" s="40" t="e">
        <f>((E25-D25)/D25)*100</f>
        <v>#REF!</v>
      </c>
      <c r="F107" s="40">
        <v>112.4904798172125</v>
      </c>
      <c r="G107" s="40">
        <v>72.227322007168382</v>
      </c>
      <c r="H107" s="40">
        <v>98.680912379825884</v>
      </c>
      <c r="I107" s="40">
        <v>71.73324770445349</v>
      </c>
      <c r="J107" s="214">
        <v>-40.087439050188806</v>
      </c>
    </row>
    <row r="108" spans="2:10" x14ac:dyDescent="0.25">
      <c r="B108" s="21" t="s">
        <v>54</v>
      </c>
      <c r="C108" s="39"/>
      <c r="D108" s="120" t="s">
        <v>105</v>
      </c>
      <c r="E108" s="119" t="e">
        <f>((E28-D28)/-D28)*100</f>
        <v>#REF!</v>
      </c>
      <c r="F108" s="119">
        <v>-398.76160990712071</v>
      </c>
      <c r="G108" s="119">
        <v>-66.54420962135319</v>
      </c>
      <c r="H108" s="119">
        <v>91.135745418716709</v>
      </c>
      <c r="I108" s="119">
        <v>1519.7395838814743</v>
      </c>
      <c r="J108" s="204">
        <v>-18.670776314596761</v>
      </c>
    </row>
    <row r="109" spans="2:10" x14ac:dyDescent="0.25">
      <c r="B109" s="21" t="s">
        <v>57</v>
      </c>
      <c r="C109" s="39"/>
      <c r="D109" s="120" t="s">
        <v>105</v>
      </c>
      <c r="E109" s="121" t="e">
        <f>((-E29+D29)/D29)*100</f>
        <v>#REF!</v>
      </c>
      <c r="F109" s="121">
        <v>-33.918128654970758</v>
      </c>
      <c r="G109" s="121">
        <v>100.9331979621543</v>
      </c>
      <c r="H109" s="121">
        <v>396.1368695085219</v>
      </c>
      <c r="I109" s="121">
        <v>74.695839602577578</v>
      </c>
      <c r="J109" s="202">
        <v>110.85542612068116</v>
      </c>
    </row>
    <row r="110" spans="2:10" x14ac:dyDescent="0.25">
      <c r="B110" s="21" t="s">
        <v>87</v>
      </c>
      <c r="C110" s="39"/>
      <c r="D110" s="120" t="s">
        <v>105</v>
      </c>
      <c r="E110" s="120" t="s">
        <v>105</v>
      </c>
      <c r="F110" s="120" t="s">
        <v>105</v>
      </c>
      <c r="G110" s="120" t="s">
        <v>105</v>
      </c>
      <c r="H110" s="120" t="s">
        <v>105</v>
      </c>
      <c r="I110" s="120" t="s">
        <v>105</v>
      </c>
      <c r="J110" s="210" t="s">
        <v>105</v>
      </c>
    </row>
    <row r="111" spans="2:10" x14ac:dyDescent="0.25">
      <c r="B111" s="21" t="s">
        <v>55</v>
      </c>
      <c r="C111" s="39"/>
      <c r="D111" s="120" t="s">
        <v>105</v>
      </c>
      <c r="E111" s="123" t="e">
        <f>((E31-D31)/D31)*100</f>
        <v>#REF!</v>
      </c>
      <c r="F111" s="123">
        <v>-50</v>
      </c>
      <c r="G111" s="123">
        <v>124.26345225806455</v>
      </c>
      <c r="H111" s="123">
        <v>339.1097994650882</v>
      </c>
      <c r="I111" s="123">
        <v>91.189260836393615</v>
      </c>
      <c r="J111" s="211">
        <v>-44.005010915508393</v>
      </c>
    </row>
    <row r="112" spans="2:10" x14ac:dyDescent="0.25">
      <c r="B112" s="27" t="s">
        <v>89</v>
      </c>
      <c r="C112" s="41"/>
      <c r="D112" s="135" t="s">
        <v>105</v>
      </c>
      <c r="E112" s="56" t="e">
        <f>((E32-D32)/D32)*100</f>
        <v>#REF!</v>
      </c>
      <c r="F112" s="56">
        <v>76.217440543601356</v>
      </c>
      <c r="G112" s="56">
        <v>-8.7090427377893551</v>
      </c>
      <c r="H112" s="56">
        <v>341.77030418283397</v>
      </c>
      <c r="I112" s="56">
        <v>122.14141108767376</v>
      </c>
      <c r="J112" s="215">
        <v>-24.239076592578073</v>
      </c>
    </row>
    <row r="113" spans="2:10" x14ac:dyDescent="0.25">
      <c r="B113" s="42" t="s">
        <v>88</v>
      </c>
      <c r="C113" s="39"/>
      <c r="D113" s="120" t="s">
        <v>105</v>
      </c>
      <c r="E113" s="120" t="s">
        <v>105</v>
      </c>
      <c r="F113" s="120" t="s">
        <v>105</v>
      </c>
      <c r="G113" s="120" t="s">
        <v>105</v>
      </c>
      <c r="H113" s="120" t="s">
        <v>105</v>
      </c>
      <c r="I113" s="120" t="s">
        <v>105</v>
      </c>
      <c r="J113" s="210" t="s">
        <v>105</v>
      </c>
    </row>
    <row r="114" spans="2:10" x14ac:dyDescent="0.25">
      <c r="B114" s="43" t="s">
        <v>113</v>
      </c>
      <c r="C114" s="44"/>
      <c r="D114" s="135" t="s">
        <v>105</v>
      </c>
      <c r="E114" s="44" t="e">
        <f>((E31-D31)/D31)*100</f>
        <v>#REF!</v>
      </c>
      <c r="F114" s="44">
        <v>-50</v>
      </c>
      <c r="G114" s="44">
        <v>124.26345225806455</v>
      </c>
      <c r="H114" s="44">
        <v>339.1097994650882</v>
      </c>
      <c r="I114" s="44">
        <v>91.189260836393615</v>
      </c>
      <c r="J114" s="216">
        <v>-44.005010915508393</v>
      </c>
    </row>
    <row r="115" spans="2:10" x14ac:dyDescent="0.25">
      <c r="D115" s="33"/>
      <c r="H115" s="33"/>
      <c r="I115" s="17"/>
      <c r="J115" s="17"/>
    </row>
    <row r="116" spans="2:10" x14ac:dyDescent="0.25">
      <c r="D116" s="33"/>
      <c r="H116" s="33"/>
      <c r="I116" s="17"/>
      <c r="J116" s="17"/>
    </row>
    <row r="117" spans="2:10" s="20" customFormat="1" x14ac:dyDescent="0.25">
      <c r="B117" s="18" t="s">
        <v>61</v>
      </c>
      <c r="C117" s="19">
        <v>41639</v>
      </c>
      <c r="D117" s="19">
        <v>42004</v>
      </c>
      <c r="E117" s="155">
        <v>2015</v>
      </c>
      <c r="F117" s="155">
        <v>2016</v>
      </c>
      <c r="G117" s="155">
        <v>2017</v>
      </c>
      <c r="H117" s="155">
        <v>2018</v>
      </c>
      <c r="I117" s="155">
        <v>2019</v>
      </c>
      <c r="J117" s="179">
        <v>2020</v>
      </c>
    </row>
    <row r="118" spans="2:10" x14ac:dyDescent="0.25">
      <c r="B118" s="21" t="s">
        <v>86</v>
      </c>
      <c r="C118" s="22"/>
      <c r="D118" s="124" t="s">
        <v>105</v>
      </c>
      <c r="E118" s="120" t="s">
        <v>105</v>
      </c>
      <c r="F118" s="120" t="s">
        <v>105</v>
      </c>
      <c r="G118" s="120" t="s">
        <v>105</v>
      </c>
      <c r="H118" s="120" t="s">
        <v>105</v>
      </c>
      <c r="I118" s="120" t="s">
        <v>105</v>
      </c>
      <c r="J118" s="210" t="s">
        <v>105</v>
      </c>
    </row>
    <row r="119" spans="2:10" x14ac:dyDescent="0.25">
      <c r="B119" s="23" t="s">
        <v>1</v>
      </c>
      <c r="C119" s="39"/>
      <c r="D119" s="124" t="s">
        <v>105</v>
      </c>
      <c r="E119" s="121" t="e">
        <f>((E47-D47)/D47)*100</f>
        <v>#REF!</v>
      </c>
      <c r="F119" s="121">
        <v>4.7738693467336679</v>
      </c>
      <c r="G119" s="121">
        <v>-84.825479136690646</v>
      </c>
      <c r="H119" s="121">
        <v>-18.926010519463464</v>
      </c>
      <c r="I119" s="121">
        <v>-1.1596094546237958</v>
      </c>
      <c r="J119" s="202">
        <v>13.860276109379408</v>
      </c>
    </row>
    <row r="120" spans="2:10" x14ac:dyDescent="0.25">
      <c r="B120" s="23" t="s">
        <v>2</v>
      </c>
      <c r="C120" s="39"/>
      <c r="D120" s="124" t="s">
        <v>105</v>
      </c>
      <c r="E120" s="121" t="e">
        <f>((E48-D48)/D48)*100</f>
        <v>#REF!</v>
      </c>
      <c r="F120" s="121">
        <v>-3.4509519013258916</v>
      </c>
      <c r="G120" s="121">
        <v>-2.867154508918643</v>
      </c>
      <c r="H120" s="121">
        <v>-3.3003841979545352</v>
      </c>
      <c r="I120" s="121">
        <v>1.6386226389769978</v>
      </c>
      <c r="J120" s="202">
        <v>-0.30285841136506086</v>
      </c>
    </row>
    <row r="121" spans="2:10" x14ac:dyDescent="0.25">
      <c r="B121" s="21" t="s">
        <v>3</v>
      </c>
      <c r="C121" s="39"/>
      <c r="D121" s="124" t="s">
        <v>105</v>
      </c>
      <c r="E121" s="121" t="e">
        <f>((E49-D49)/D49)*100</f>
        <v>#REF!</v>
      </c>
      <c r="F121" s="121">
        <v>7.0368334249587692</v>
      </c>
      <c r="G121" s="121">
        <v>-18.631867488443756</v>
      </c>
      <c r="H121" s="121">
        <v>64.003292965775827</v>
      </c>
      <c r="I121" s="121">
        <v>0.43787285071529214</v>
      </c>
      <c r="J121" s="202">
        <v>-0.61288003672029145</v>
      </c>
    </row>
    <row r="122" spans="2:10" x14ac:dyDescent="0.25">
      <c r="B122" s="21" t="s">
        <v>4</v>
      </c>
      <c r="C122" s="39"/>
      <c r="D122" s="124" t="s">
        <v>105</v>
      </c>
      <c r="E122" s="121" t="e">
        <f>((E51-D51)/D51)*100</f>
        <v>#REF!</v>
      </c>
      <c r="F122" s="121">
        <v>-34.659090909090914</v>
      </c>
      <c r="G122" s="121">
        <v>-40.326287826086954</v>
      </c>
      <c r="H122" s="121">
        <v>-5.5281570419566677</v>
      </c>
      <c r="I122" s="121">
        <v>37.84262037019154</v>
      </c>
      <c r="J122" s="202">
        <v>3.3549605876985424</v>
      </c>
    </row>
    <row r="123" spans="2:10" x14ac:dyDescent="0.25">
      <c r="B123" s="21" t="s">
        <v>5</v>
      </c>
      <c r="C123" s="39"/>
      <c r="D123" s="124" t="s">
        <v>105</v>
      </c>
      <c r="E123" s="121" t="e">
        <f>((E52-D52)/D52)*100</f>
        <v>#REF!</v>
      </c>
      <c r="F123" s="121">
        <v>-33.86937030859049</v>
      </c>
      <c r="G123" s="121">
        <v>27.839545345445941</v>
      </c>
      <c r="H123" s="121">
        <v>-16.408349215035862</v>
      </c>
      <c r="I123" s="121">
        <v>13.436757806548636</v>
      </c>
      <c r="J123" s="202">
        <v>-5.9449068264630034</v>
      </c>
    </row>
    <row r="124" spans="2:10" x14ac:dyDescent="0.25">
      <c r="B124" s="21" t="s">
        <v>58</v>
      </c>
      <c r="C124" s="39"/>
      <c r="D124" s="124" t="s">
        <v>105</v>
      </c>
      <c r="E124" s="123" t="e">
        <f>((E53-D53)/D53)*100</f>
        <v>#REF!</v>
      </c>
      <c r="F124" s="123">
        <v>8.0594026364091444</v>
      </c>
      <c r="G124" s="123">
        <v>-26.866723378628787</v>
      </c>
      <c r="H124" s="123">
        <v>80.977621214085929</v>
      </c>
      <c r="I124" s="123">
        <v>53.416723330419657</v>
      </c>
      <c r="J124" s="211">
        <v>457.68944033627645</v>
      </c>
    </row>
    <row r="125" spans="2:10" x14ac:dyDescent="0.25">
      <c r="B125" s="45" t="s">
        <v>24</v>
      </c>
      <c r="C125" s="46"/>
      <c r="D125" s="135" t="s">
        <v>105</v>
      </c>
      <c r="E125" s="46" t="e">
        <f>((E54-D54)/D54)*100</f>
        <v>#REF!</v>
      </c>
      <c r="F125" s="46">
        <v>-13.381205150413958</v>
      </c>
      <c r="G125" s="46">
        <v>3.3369208861006943</v>
      </c>
      <c r="H125" s="46">
        <v>-5.1746867795389546</v>
      </c>
      <c r="I125" s="46">
        <v>7.8098807488266573</v>
      </c>
      <c r="J125" s="212">
        <v>29.713582866852278</v>
      </c>
    </row>
    <row r="126" spans="2:10" x14ac:dyDescent="0.25">
      <c r="B126" s="23" t="s">
        <v>6</v>
      </c>
      <c r="C126" s="39"/>
      <c r="D126" s="124" t="s">
        <v>105</v>
      </c>
      <c r="E126" s="125" t="e">
        <f>((E56-D56)/D56)*100</f>
        <v>#REF!</v>
      </c>
      <c r="F126" s="125">
        <v>0</v>
      </c>
      <c r="G126" s="125">
        <v>0</v>
      </c>
      <c r="H126" s="125">
        <v>0</v>
      </c>
      <c r="I126" s="125">
        <v>0</v>
      </c>
      <c r="J126" s="213">
        <v>0</v>
      </c>
    </row>
    <row r="127" spans="2:10" x14ac:dyDescent="0.25">
      <c r="B127" s="23" t="s">
        <v>91</v>
      </c>
      <c r="C127" s="39"/>
      <c r="D127" s="124" t="s">
        <v>105</v>
      </c>
      <c r="E127" s="121" t="e">
        <f>((E57-D57)/D57)*100</f>
        <v>#REF!</v>
      </c>
      <c r="F127" s="121">
        <v>2.3080939947780679</v>
      </c>
      <c r="G127" s="121">
        <v>3.9704491042262147</v>
      </c>
      <c r="H127" s="121">
        <v>3.4867327901821885</v>
      </c>
      <c r="I127" s="121">
        <v>10.140568927832215</v>
      </c>
      <c r="J127" s="202">
        <v>3.0020140481514757</v>
      </c>
    </row>
    <row r="128" spans="2:10" x14ac:dyDescent="0.25">
      <c r="B128" s="23" t="s">
        <v>7</v>
      </c>
      <c r="C128" s="39"/>
      <c r="D128" s="124" t="s">
        <v>105</v>
      </c>
      <c r="E128" s="120" t="s">
        <v>105</v>
      </c>
      <c r="F128" s="120" t="s">
        <v>105</v>
      </c>
      <c r="G128" s="120" t="s">
        <v>105</v>
      </c>
      <c r="H128" s="120" t="s">
        <v>105</v>
      </c>
      <c r="I128" s="120" t="s">
        <v>105</v>
      </c>
      <c r="J128" s="210" t="s">
        <v>105</v>
      </c>
    </row>
    <row r="129" spans="2:10" x14ac:dyDescent="0.25">
      <c r="B129" s="23" t="s">
        <v>114</v>
      </c>
      <c r="C129" s="39"/>
      <c r="D129" s="124" t="s">
        <v>105</v>
      </c>
      <c r="E129" s="121" t="e">
        <f>((E59-D59)/D59)*100</f>
        <v>#REF!</v>
      </c>
      <c r="F129" s="121">
        <v>76.217440543601356</v>
      </c>
      <c r="G129" s="121">
        <v>-8.7090427377892095</v>
      </c>
      <c r="H129" s="121">
        <v>341.77030418283329</v>
      </c>
      <c r="I129" s="121">
        <v>122.14141108767356</v>
      </c>
      <c r="J129" s="202">
        <v>-24.239076592578005</v>
      </c>
    </row>
    <row r="130" spans="2:10" x14ac:dyDescent="0.25">
      <c r="B130" s="57" t="s">
        <v>90</v>
      </c>
      <c r="C130" s="39"/>
      <c r="D130" s="124" t="s">
        <v>105</v>
      </c>
      <c r="E130" s="121" t="e">
        <f>((E60-D60)/D60)*100</f>
        <v>#REF!</v>
      </c>
      <c r="F130" s="121">
        <v>1.7075551363741048</v>
      </c>
      <c r="G130" s="121">
        <v>1.531451447056293</v>
      </c>
      <c r="H130" s="121">
        <v>6.6644787366169913</v>
      </c>
      <c r="I130" s="121">
        <v>11.888239762980394</v>
      </c>
      <c r="J130" s="202">
        <v>-1.7663358438636396</v>
      </c>
    </row>
    <row r="131" spans="2:10" x14ac:dyDescent="0.25">
      <c r="B131" s="23" t="s">
        <v>85</v>
      </c>
      <c r="C131" s="39"/>
      <c r="D131" s="124" t="s">
        <v>105</v>
      </c>
      <c r="E131" s="120" t="s">
        <v>105</v>
      </c>
      <c r="F131" s="120" t="s">
        <v>105</v>
      </c>
      <c r="G131" s="120" t="s">
        <v>105</v>
      </c>
      <c r="H131" s="120" t="s">
        <v>105</v>
      </c>
      <c r="I131" s="120" t="s">
        <v>105</v>
      </c>
      <c r="J131" s="210" t="s">
        <v>105</v>
      </c>
    </row>
    <row r="132" spans="2:10" x14ac:dyDescent="0.25">
      <c r="B132" s="57" t="s">
        <v>110</v>
      </c>
      <c r="C132" s="39"/>
      <c r="D132" s="124" t="s">
        <v>105</v>
      </c>
      <c r="E132" s="121" t="e">
        <f>((E63-D63)/D63)*100</f>
        <v>#REF!</v>
      </c>
      <c r="F132" s="121">
        <v>1.1325427238666566</v>
      </c>
      <c r="G132" s="121">
        <v>0.97035431478511081</v>
      </c>
      <c r="H132" s="121">
        <v>6.0360239878514443</v>
      </c>
      <c r="I132" s="121">
        <v>11.276873860198274</v>
      </c>
      <c r="J132" s="202">
        <v>-2.2023679961519034</v>
      </c>
    </row>
    <row r="133" spans="2:10" x14ac:dyDescent="0.25">
      <c r="B133" s="21" t="s">
        <v>59</v>
      </c>
      <c r="C133" s="39"/>
      <c r="D133" s="124" t="s">
        <v>105</v>
      </c>
      <c r="E133" s="121" t="e">
        <f>((E64-D64)/D64)*100</f>
        <v>#REF!</v>
      </c>
      <c r="F133" s="121">
        <v>-16.501360047767534</v>
      </c>
      <c r="G133" s="121">
        <v>-12.261738603182177</v>
      </c>
      <c r="H133" s="121">
        <v>-24.717541938557353</v>
      </c>
      <c r="I133" s="121">
        <v>17.595931139406211</v>
      </c>
      <c r="J133" s="202">
        <v>146.30647947376718</v>
      </c>
    </row>
    <row r="134" spans="2:10" x14ac:dyDescent="0.25">
      <c r="B134" s="21" t="s">
        <v>27</v>
      </c>
      <c r="C134" s="39"/>
      <c r="D134" s="124" t="s">
        <v>105</v>
      </c>
      <c r="E134" s="121" t="e">
        <f>((E65-D65)/D65)*100</f>
        <v>#REF!</v>
      </c>
      <c r="F134" s="121">
        <v>-60.250494396835862</v>
      </c>
      <c r="G134" s="121">
        <v>-29.504864510779438</v>
      </c>
      <c r="H134" s="120" t="s">
        <v>105</v>
      </c>
      <c r="I134" s="121">
        <v>20.04093191527361</v>
      </c>
      <c r="J134" s="202">
        <v>-63.029875824691594</v>
      </c>
    </row>
    <row r="135" spans="2:10" x14ac:dyDescent="0.25">
      <c r="B135" s="21" t="s">
        <v>8</v>
      </c>
      <c r="C135" s="39"/>
      <c r="D135" s="124" t="s">
        <v>105</v>
      </c>
      <c r="E135" s="121" t="e">
        <f>((E66-D66)/D66)*100</f>
        <v>#REF!</v>
      </c>
      <c r="F135" s="121">
        <v>667.44186046511629</v>
      </c>
      <c r="G135" s="121">
        <v>7.8892096969697043</v>
      </c>
      <c r="H135" s="120" t="s">
        <v>105</v>
      </c>
      <c r="I135" s="121">
        <v>291.58973445887079</v>
      </c>
      <c r="J135" s="202">
        <v>-84.516245036063864</v>
      </c>
    </row>
    <row r="136" spans="2:10" x14ac:dyDescent="0.25">
      <c r="B136" s="21" t="s">
        <v>9</v>
      </c>
      <c r="C136" s="39"/>
      <c r="D136" s="124" t="s">
        <v>105</v>
      </c>
      <c r="E136" s="121" t="e">
        <f>((E67-D67)/D67)*100</f>
        <v>#REF!</v>
      </c>
      <c r="F136" s="121">
        <v>-15.17412935323383</v>
      </c>
      <c r="G136" s="121">
        <v>54.664455215751985</v>
      </c>
      <c r="H136" s="121">
        <v>10.305076810866145</v>
      </c>
      <c r="I136" s="121">
        <v>-13.135020573387557</v>
      </c>
      <c r="J136" s="202">
        <v>-36.337073077226464</v>
      </c>
    </row>
    <row r="137" spans="2:10" x14ac:dyDescent="0.25">
      <c r="B137" s="21" t="s">
        <v>10</v>
      </c>
      <c r="C137" s="39"/>
      <c r="D137" s="124" t="s">
        <v>105</v>
      </c>
      <c r="E137" s="121" t="e">
        <f>((E68-D68)/D68)*100</f>
        <v>#REF!</v>
      </c>
      <c r="F137" s="121">
        <v>-7.6196898179366146</v>
      </c>
      <c r="G137" s="121">
        <v>82.051961642335769</v>
      </c>
      <c r="H137" s="121">
        <v>11.641443137945599</v>
      </c>
      <c r="I137" s="121">
        <v>26.293502716791036</v>
      </c>
      <c r="J137" s="202">
        <v>-18.769471452517188</v>
      </c>
    </row>
    <row r="138" spans="2:10" x14ac:dyDescent="0.25">
      <c r="B138" s="21" t="s">
        <v>11</v>
      </c>
      <c r="C138" s="39"/>
      <c r="D138" s="124" t="s">
        <v>105</v>
      </c>
      <c r="E138" s="121" t="e">
        <f>((E69-D69)/D69)*100</f>
        <v>#REF!</v>
      </c>
      <c r="F138" s="121">
        <v>23.429752066115704</v>
      </c>
      <c r="G138" s="121">
        <v>-100</v>
      </c>
      <c r="H138" s="120" t="s">
        <v>105</v>
      </c>
      <c r="I138" s="120" t="s">
        <v>105</v>
      </c>
      <c r="J138" s="210" t="s">
        <v>105</v>
      </c>
    </row>
    <row r="139" spans="2:10" x14ac:dyDescent="0.25">
      <c r="B139" s="21" t="s">
        <v>12</v>
      </c>
      <c r="C139" s="39"/>
      <c r="D139" s="124" t="s">
        <v>105</v>
      </c>
      <c r="E139" s="121" t="e">
        <f>((E70-D70)/D70)*100</f>
        <v>#REF!</v>
      </c>
      <c r="F139" s="121">
        <v>-89.476299931664286</v>
      </c>
      <c r="G139" s="121">
        <v>79.890631818181816</v>
      </c>
      <c r="H139" s="121">
        <v>-2.1739514867498499</v>
      </c>
      <c r="I139" s="121">
        <v>27.936607405721865</v>
      </c>
      <c r="J139" s="202">
        <v>38.348015986620574</v>
      </c>
    </row>
    <row r="140" spans="2:10" x14ac:dyDescent="0.25">
      <c r="B140" s="21" t="s">
        <v>60</v>
      </c>
      <c r="C140" s="39"/>
      <c r="D140" s="124" t="s">
        <v>105</v>
      </c>
      <c r="E140" s="123" t="e">
        <f>((E71-D71)/D71)*100</f>
        <v>#REF!</v>
      </c>
      <c r="F140" s="123">
        <v>-15.322090129941939</v>
      </c>
      <c r="G140" s="123">
        <v>23.887577256105526</v>
      </c>
      <c r="H140" s="123">
        <v>-51.383031481813035</v>
      </c>
      <c r="I140" s="123">
        <v>-96.152034028177425</v>
      </c>
      <c r="J140" s="211">
        <v>2725.0455705165973</v>
      </c>
    </row>
    <row r="141" spans="2:10" x14ac:dyDescent="0.25">
      <c r="B141" s="34" t="s">
        <v>25</v>
      </c>
      <c r="C141" s="46"/>
      <c r="D141" s="135" t="s">
        <v>105</v>
      </c>
      <c r="E141" s="46" t="e">
        <f>((E72-D72)/D72)*100</f>
        <v>#REF!</v>
      </c>
      <c r="F141" s="46">
        <v>-13.381205150413958</v>
      </c>
      <c r="G141" s="46">
        <v>3.3369208861007102</v>
      </c>
      <c r="H141" s="46">
        <v>-5.1746867795389697</v>
      </c>
      <c r="I141" s="46">
        <v>7.8098807488266404</v>
      </c>
      <c r="J141" s="212">
        <v>29.713582866852317</v>
      </c>
    </row>
    <row r="142" spans="2:10" x14ac:dyDescent="0.25">
      <c r="D142" s="33"/>
      <c r="H142" s="33"/>
      <c r="I142" s="17"/>
      <c r="J142" s="17"/>
    </row>
    <row r="143" spans="2:10" s="20" customFormat="1" x14ac:dyDescent="0.25">
      <c r="B143" s="18" t="s">
        <v>83</v>
      </c>
      <c r="C143" s="19">
        <v>41639</v>
      </c>
      <c r="D143" s="19">
        <v>42004</v>
      </c>
      <c r="E143" s="155">
        <v>2015</v>
      </c>
      <c r="F143" s="155">
        <v>2016</v>
      </c>
      <c r="G143" s="155">
        <v>2017</v>
      </c>
      <c r="H143" s="155">
        <v>2018</v>
      </c>
      <c r="I143" s="155">
        <v>2019</v>
      </c>
      <c r="J143" s="179">
        <v>2020</v>
      </c>
    </row>
    <row r="144" spans="2:10" x14ac:dyDescent="0.25">
      <c r="B144" s="75"/>
      <c r="C144" s="76"/>
      <c r="D144" s="76"/>
      <c r="E144" s="76"/>
      <c r="F144" s="76"/>
      <c r="G144" s="76"/>
      <c r="H144" s="76"/>
      <c r="I144" s="76"/>
      <c r="J144" s="199"/>
    </row>
    <row r="145" spans="2:11" s="20" customFormat="1" x14ac:dyDescent="0.25">
      <c r="B145" s="47" t="s">
        <v>64</v>
      </c>
      <c r="C145" s="26"/>
      <c r="D145" s="26"/>
      <c r="E145" s="26"/>
      <c r="F145" s="26"/>
      <c r="G145" s="26"/>
      <c r="H145" s="26"/>
      <c r="I145" s="26"/>
      <c r="J145" s="183"/>
    </row>
    <row r="146" spans="2:11" x14ac:dyDescent="0.25">
      <c r="B146" s="23" t="s">
        <v>73</v>
      </c>
      <c r="C146" s="39" t="e">
        <f>(C32/C5)*100</f>
        <v>#REF!</v>
      </c>
      <c r="D146" s="126" t="e">
        <f>D36*100/D5</f>
        <v>#REF!</v>
      </c>
      <c r="E146" s="217" t="e">
        <f>E36*100/E5</f>
        <v>#REF!</v>
      </c>
      <c r="F146" s="126">
        <v>3.3953782704519169</v>
      </c>
      <c r="G146" s="126">
        <v>2.8860362293423067</v>
      </c>
      <c r="H146" s="126">
        <v>11.135071592584783</v>
      </c>
      <c r="I146" s="126">
        <v>22.707153407569269</v>
      </c>
      <c r="J146" s="200">
        <v>17.677227644177375</v>
      </c>
      <c r="K146" s="20"/>
    </row>
    <row r="147" spans="2:11" x14ac:dyDescent="0.25">
      <c r="B147" s="23" t="s">
        <v>74</v>
      </c>
      <c r="C147" s="39" t="e">
        <f>(C5/C54)*100</f>
        <v>#REF!</v>
      </c>
      <c r="D147" s="127" t="e">
        <f>D5*100/D54</f>
        <v>#REF!</v>
      </c>
      <c r="E147" s="218" t="e">
        <f>E5*100/E54</f>
        <v>#REF!</v>
      </c>
      <c r="F147" s="218">
        <v>25.600388807266675</v>
      </c>
      <c r="G147" s="218">
        <v>26.607568678025899</v>
      </c>
      <c r="H147" s="218">
        <v>32.128184867046187</v>
      </c>
      <c r="I147" s="218">
        <v>32.462911690270225</v>
      </c>
      <c r="J147" s="221">
        <v>24.355430683923394</v>
      </c>
      <c r="K147" s="20"/>
    </row>
    <row r="148" spans="2:11" x14ac:dyDescent="0.25">
      <c r="B148" s="23" t="s">
        <v>75</v>
      </c>
      <c r="C148" s="39" t="e">
        <f>(C54/(C56+C60+C62))*100</f>
        <v>#REF!</v>
      </c>
      <c r="D148" s="128" t="e">
        <f>D54*100/D63</f>
        <v>#REF!</v>
      </c>
      <c r="E148" s="219" t="e">
        <f>E54*100/E63</f>
        <v>#REF!</v>
      </c>
      <c r="F148" s="219">
        <v>188.93966900278645</v>
      </c>
      <c r="G148" s="219">
        <v>193.36808076475202</v>
      </c>
      <c r="H148" s="219">
        <v>172.92414535891874</v>
      </c>
      <c r="I148" s="219">
        <v>167.53644169730794</v>
      </c>
      <c r="J148" s="222">
        <v>222.21143465381891</v>
      </c>
      <c r="K148" s="20"/>
    </row>
    <row r="149" spans="2:11" x14ac:dyDescent="0.25">
      <c r="B149" s="23" t="s">
        <v>76</v>
      </c>
      <c r="C149" s="39" t="e">
        <f>(C32/(C56+C60+C62))*100</f>
        <v>#REF!</v>
      </c>
      <c r="D149" s="128" t="e">
        <f>D36*100/D63</f>
        <v>#REF!</v>
      </c>
      <c r="E149" s="219" t="e">
        <f>E36*100/E63</f>
        <v>#REF!</v>
      </c>
      <c r="F149" s="128">
        <v>1.6423203580173942</v>
      </c>
      <c r="G149" s="128">
        <v>1.4848813657443043</v>
      </c>
      <c r="H149" s="128">
        <v>6.1863550513308443</v>
      </c>
      <c r="I149" s="128">
        <v>12.349786554199154</v>
      </c>
      <c r="J149" s="201">
        <v>9.5670131685179918</v>
      </c>
    </row>
    <row r="150" spans="2:11" x14ac:dyDescent="0.25">
      <c r="B150" s="23" t="s">
        <v>77</v>
      </c>
      <c r="C150" s="39" t="e">
        <f>(C32/C54)*100</f>
        <v>#REF!</v>
      </c>
      <c r="D150" s="128" t="e">
        <f>D36*100/D54</f>
        <v>#REF!</v>
      </c>
      <c r="E150" s="219" t="e">
        <f>E36*100/E54</f>
        <v>#REF!</v>
      </c>
      <c r="F150" s="128">
        <v>0.86923003871313731</v>
      </c>
      <c r="G150" s="128">
        <v>0.76790407179496334</v>
      </c>
      <c r="H150" s="128">
        <v>3.5774963863435834</v>
      </c>
      <c r="I150" s="128">
        <v>7.3714031580733979</v>
      </c>
      <c r="J150" s="201">
        <v>4.3053649257169653</v>
      </c>
    </row>
    <row r="151" spans="2:11" x14ac:dyDescent="0.25">
      <c r="B151" s="23" t="s">
        <v>78</v>
      </c>
      <c r="C151" s="39" t="e">
        <f>(#REF!/#REF!)*100</f>
        <v>#REF!</v>
      </c>
      <c r="D151" s="121" t="e">
        <f>(#REF!/#REF!)*100</f>
        <v>#REF!</v>
      </c>
      <c r="E151" s="60" t="e">
        <f>(#REF!/#REF!)*100</f>
        <v>#REF!</v>
      </c>
      <c r="F151" s="60">
        <v>94.473934400253526</v>
      </c>
      <c r="G151" s="60">
        <v>91.548789517454168</v>
      </c>
      <c r="H151" s="60">
        <v>84.82967986471121</v>
      </c>
      <c r="I151" s="60">
        <v>74.837070258423623</v>
      </c>
      <c r="J151" s="181">
        <v>85.642394111324819</v>
      </c>
    </row>
    <row r="152" spans="2:11" x14ac:dyDescent="0.25">
      <c r="B152" s="129"/>
      <c r="C152" s="130"/>
      <c r="D152" s="130"/>
      <c r="E152" s="130"/>
      <c r="F152" s="130"/>
      <c r="G152" s="130"/>
      <c r="H152" s="130"/>
      <c r="I152" s="130"/>
      <c r="J152" s="203"/>
    </row>
    <row r="153" spans="2:11" s="20" customFormat="1" x14ac:dyDescent="0.25">
      <c r="B153" s="47" t="s">
        <v>65</v>
      </c>
      <c r="C153" s="26"/>
      <c r="D153" s="26"/>
      <c r="E153" s="26"/>
      <c r="F153" s="26"/>
      <c r="G153" s="26"/>
      <c r="H153" s="26"/>
      <c r="I153" s="26"/>
      <c r="J153" s="183"/>
    </row>
    <row r="154" spans="2:11" x14ac:dyDescent="0.25">
      <c r="B154" s="23" t="s">
        <v>79</v>
      </c>
      <c r="C154" s="39" t="e">
        <f>((C52+C51)/(C70+C69+C68+C67+C66+C65))*100</f>
        <v>#REF!</v>
      </c>
      <c r="D154" s="119" t="e">
        <f>((D52+D51)/(D70+D69+D68+D67+D66+D65))*100</f>
        <v>#REF!</v>
      </c>
      <c r="E154" s="119" t="e">
        <f>((E52+E51)/(E70+E69+E68+E67+E66+E65))*100</f>
        <v>#REF!</v>
      </c>
      <c r="F154" s="119">
        <v>273.32867583834906</v>
      </c>
      <c r="G154" s="119">
        <v>248.0900322949434</v>
      </c>
      <c r="H154" s="119">
        <v>172.37977345843552</v>
      </c>
      <c r="I154" s="119">
        <v>167.52006812619524</v>
      </c>
      <c r="J154" s="204">
        <v>202.84409932906701</v>
      </c>
    </row>
    <row r="155" spans="2:11" x14ac:dyDescent="0.25">
      <c r="B155" s="23" t="s">
        <v>80</v>
      </c>
      <c r="C155" s="39" t="e">
        <f>((C51+C52)/C54)*100</f>
        <v>#REF!</v>
      </c>
      <c r="D155" s="121" t="e">
        <f>((D51+D52)/D54)*100</f>
        <v>#REF!</v>
      </c>
      <c r="E155" s="121" t="e">
        <f>((E51+E52)/E54)*100</f>
        <v>#REF!</v>
      </c>
      <c r="F155" s="121">
        <v>28.412537917087967</v>
      </c>
      <c r="G155" s="121">
        <v>35.10716933824542</v>
      </c>
      <c r="H155" s="121">
        <v>30.952387849550096</v>
      </c>
      <c r="I155" s="121">
        <v>32.576240075170226</v>
      </c>
      <c r="J155" s="202">
        <v>23.62436299184056</v>
      </c>
    </row>
    <row r="156" spans="2:11" x14ac:dyDescent="0.25">
      <c r="B156" s="23" t="s">
        <v>159</v>
      </c>
      <c r="C156" s="39"/>
      <c r="D156" s="121"/>
      <c r="E156" s="121" t="e">
        <f>(E63+E64)/SUM(E46:E49)*100</f>
        <v>#REF!</v>
      </c>
      <c r="F156" s="121">
        <v>119.2443618909856</v>
      </c>
      <c r="G156" s="121">
        <v>121.27393994300675</v>
      </c>
      <c r="H156" s="121">
        <v>119.67674934029311</v>
      </c>
      <c r="I156" s="121">
        <v>132.90203351179434</v>
      </c>
      <c r="J156" s="202">
        <v>181.29639878975865</v>
      </c>
    </row>
    <row r="157" spans="2:11" x14ac:dyDescent="0.25">
      <c r="B157" s="23" t="s">
        <v>71</v>
      </c>
      <c r="C157" s="39" t="e">
        <f>C51/(-C11/360)</f>
        <v>#REF!</v>
      </c>
      <c r="D157" s="121" t="e">
        <f>D51/(-D11/360)</f>
        <v>#REF!</v>
      </c>
      <c r="E157" s="121" t="e">
        <f>E51/(-E11/360)</f>
        <v>#REF!</v>
      </c>
      <c r="F157" s="121">
        <v>23.076923076923077</v>
      </c>
      <c r="G157" s="121">
        <v>12.815583171628193</v>
      </c>
      <c r="H157" s="121">
        <v>13.815222544133666</v>
      </c>
      <c r="I157" s="121">
        <v>17.988892765387423</v>
      </c>
      <c r="J157" s="202">
        <v>16.145398072416846</v>
      </c>
    </row>
    <row r="158" spans="2:11" x14ac:dyDescent="0.25">
      <c r="B158" s="23" t="s">
        <v>70</v>
      </c>
      <c r="C158" s="39" t="e">
        <f>C5/C51</f>
        <v>#REF!</v>
      </c>
      <c r="D158" s="121" t="e">
        <f>D5/D51</f>
        <v>#REF!</v>
      </c>
      <c r="E158" s="121" t="e">
        <f>E5/E51</f>
        <v>#REF!</v>
      </c>
      <c r="F158" s="121">
        <v>398.49565217391302</v>
      </c>
      <c r="G158" s="121">
        <v>717.22377845818323</v>
      </c>
      <c r="H158" s="121">
        <v>869.27577333120018</v>
      </c>
      <c r="I158" s="121">
        <v>686.96387798493299</v>
      </c>
      <c r="J158" s="202">
        <v>646.83926436316972</v>
      </c>
    </row>
    <row r="159" spans="2:11" x14ac:dyDescent="0.25">
      <c r="B159" s="23" t="s">
        <v>93</v>
      </c>
      <c r="C159" s="39" t="e">
        <f>(C52/(C5*1.2))*360</f>
        <v>#REF!</v>
      </c>
      <c r="D159" s="121" t="e">
        <f>(D52/(D5*1.2))*360</f>
        <v>#REF!</v>
      </c>
      <c r="E159" s="121" t="e">
        <f>(E52/(E5*1.2))*360</f>
        <v>#REF!</v>
      </c>
      <c r="F159" s="121">
        <v>332.20154057651598</v>
      </c>
      <c r="G159" s="121">
        <v>395.41461034609</v>
      </c>
      <c r="H159" s="121">
        <v>288.67576798178288</v>
      </c>
      <c r="I159" s="121">
        <v>300.61059914429194</v>
      </c>
      <c r="J159" s="202">
        <v>290.53122045576811</v>
      </c>
    </row>
    <row r="160" spans="2:11" x14ac:dyDescent="0.25">
      <c r="B160" s="23" t="s">
        <v>94</v>
      </c>
      <c r="C160" s="39" t="e">
        <f>(C67/(C5*1.2))*360</f>
        <v>#REF!</v>
      </c>
      <c r="D160" s="122" t="e">
        <f>(D67/(D5*1.2))*360</f>
        <v>#REF!</v>
      </c>
      <c r="E160" s="122" t="e">
        <f>(E67/(E5*1.2))*360</f>
        <v>#REF!</v>
      </c>
      <c r="F160" s="122">
        <v>31.252318502193031</v>
      </c>
      <c r="G160" s="122">
        <v>45.004776626506484</v>
      </c>
      <c r="H160" s="122">
        <v>43.355962071143431</v>
      </c>
      <c r="I160" s="122">
        <v>34.572732260408685</v>
      </c>
      <c r="J160" s="205">
        <v>22.61655774833195</v>
      </c>
    </row>
    <row r="161" spans="2:10" x14ac:dyDescent="0.25">
      <c r="B161" s="129"/>
      <c r="C161" s="130"/>
      <c r="D161" s="130"/>
      <c r="E161" s="130"/>
      <c r="F161" s="130"/>
      <c r="G161" s="130"/>
      <c r="H161" s="130"/>
      <c r="I161" s="130"/>
      <c r="J161" s="203"/>
    </row>
    <row r="162" spans="2:10" s="20" customFormat="1" x14ac:dyDescent="0.25">
      <c r="B162" s="47" t="s">
        <v>66</v>
      </c>
      <c r="C162" s="26"/>
      <c r="D162" s="26"/>
      <c r="E162" s="26"/>
      <c r="F162" s="26"/>
      <c r="G162" s="26"/>
      <c r="H162" s="26"/>
      <c r="I162" s="26"/>
      <c r="J162" s="183"/>
    </row>
    <row r="163" spans="2:10" x14ac:dyDescent="0.25">
      <c r="B163" s="21" t="s">
        <v>117</v>
      </c>
      <c r="C163" s="39" t="e">
        <f>(C64/(C56+C60+C62))*100</f>
        <v>#REF!</v>
      </c>
      <c r="D163" s="126" t="e">
        <f>(D64+D71)*100/D63</f>
        <v>#REF!</v>
      </c>
      <c r="E163" s="126" t="e">
        <f>(E64+E71)*100/E63</f>
        <v>#REF!</v>
      </c>
      <c r="F163" s="217">
        <v>69.299375158321368</v>
      </c>
      <c r="G163" s="217">
        <v>66.004603509249137</v>
      </c>
      <c r="H163" s="217">
        <v>41.874010483368444</v>
      </c>
      <c r="I163" s="217">
        <v>34.957017589386147</v>
      </c>
      <c r="J163" s="220">
        <v>96.331443022003072</v>
      </c>
    </row>
    <row r="164" spans="2:10" x14ac:dyDescent="0.25">
      <c r="B164" s="21" t="s">
        <v>81</v>
      </c>
      <c r="C164" s="39" t="e">
        <f>C20/(#REF!)</f>
        <v>#REF!</v>
      </c>
      <c r="D164" s="128" t="e">
        <f>D20/(#REF!/1000000)</f>
        <v>#REF!</v>
      </c>
      <c r="E164" s="128" t="e">
        <f>E20/(#REF!/1000000)</f>
        <v>#REF!</v>
      </c>
      <c r="F164" s="128">
        <v>0.8394463667820069</v>
      </c>
      <c r="G164" s="128">
        <v>1.9193711137833838</v>
      </c>
      <c r="H164" s="128">
        <v>3.4635962574848418</v>
      </c>
      <c r="I164" s="128">
        <v>7.8829113329168923</v>
      </c>
      <c r="J164" s="201">
        <v>6.1361135138675902</v>
      </c>
    </row>
    <row r="165" spans="2:10" x14ac:dyDescent="0.25">
      <c r="B165" s="48" t="s">
        <v>118</v>
      </c>
      <c r="C165" s="49" t="e">
        <f>(C64/C20)*100</f>
        <v>#REF!</v>
      </c>
      <c r="D165" s="131" t="e">
        <f>(D64+D71)/D20</f>
        <v>#REF!</v>
      </c>
      <c r="E165" s="131" t="e">
        <f>(E64+E71)/E20</f>
        <v>#REF!</v>
      </c>
      <c r="F165" s="131">
        <v>10.825556471558121</v>
      </c>
      <c r="G165" s="131">
        <v>6.5586398781929969</v>
      </c>
      <c r="H165" s="131">
        <v>3.1007281831970142</v>
      </c>
      <c r="I165" s="131">
        <v>1.8334721301566561</v>
      </c>
      <c r="J165" s="206">
        <v>7.0848432196120639</v>
      </c>
    </row>
    <row r="166" spans="2:10" x14ac:dyDescent="0.25">
      <c r="I166" s="17"/>
      <c r="J166" s="17"/>
    </row>
    <row r="167" spans="2:10" x14ac:dyDescent="0.25">
      <c r="I167" s="17"/>
      <c r="J167" s="17"/>
    </row>
    <row r="168" spans="2:10" x14ac:dyDescent="0.25">
      <c r="B168" s="50" t="s">
        <v>67</v>
      </c>
      <c r="C168" s="51"/>
      <c r="D168" s="51"/>
      <c r="E168" s="51"/>
      <c r="F168" s="51"/>
      <c r="G168" s="51"/>
      <c r="H168" s="51"/>
      <c r="I168" s="51"/>
      <c r="J168" s="207"/>
    </row>
    <row r="169" spans="2:10" x14ac:dyDescent="0.25">
      <c r="B169" s="52" t="s">
        <v>82</v>
      </c>
      <c r="C169" s="53"/>
      <c r="D169" s="53"/>
      <c r="E169" s="53"/>
      <c r="F169" s="53"/>
      <c r="G169" s="53"/>
      <c r="H169" s="53"/>
      <c r="I169" s="53"/>
      <c r="J169" s="208"/>
    </row>
    <row r="170" spans="2:10" x14ac:dyDescent="0.25">
      <c r="B170" s="52" t="s">
        <v>68</v>
      </c>
      <c r="C170" s="53"/>
      <c r="D170" s="53"/>
      <c r="E170" s="53"/>
      <c r="F170" s="53"/>
      <c r="G170" s="53"/>
      <c r="H170" s="53"/>
      <c r="I170" s="53"/>
      <c r="J170" s="208"/>
    </row>
    <row r="171" spans="2:10" x14ac:dyDescent="0.25">
      <c r="B171" s="52" t="s">
        <v>72</v>
      </c>
      <c r="C171" s="53"/>
      <c r="D171" s="53"/>
      <c r="E171" s="53"/>
      <c r="F171" s="53"/>
      <c r="G171" s="53"/>
      <c r="H171" s="53"/>
      <c r="I171" s="53"/>
      <c r="J171" s="208"/>
    </row>
    <row r="172" spans="2:10" x14ac:dyDescent="0.25">
      <c r="B172" s="52" t="s">
        <v>119</v>
      </c>
      <c r="C172" s="53"/>
      <c r="D172" s="53"/>
      <c r="E172" s="53"/>
      <c r="F172" s="53"/>
      <c r="G172" s="53"/>
      <c r="H172" s="53"/>
      <c r="I172" s="53"/>
      <c r="J172" s="208"/>
    </row>
    <row r="173" spans="2:10" x14ac:dyDescent="0.25">
      <c r="B173" s="52" t="s">
        <v>120</v>
      </c>
      <c r="C173" s="53"/>
      <c r="D173" s="53"/>
      <c r="E173" s="53"/>
      <c r="F173" s="53"/>
      <c r="G173" s="53"/>
      <c r="H173" s="53"/>
      <c r="I173" s="53"/>
      <c r="J173" s="208"/>
    </row>
    <row r="174" spans="2:10" x14ac:dyDescent="0.25">
      <c r="B174" s="52" t="s">
        <v>69</v>
      </c>
      <c r="C174" s="53"/>
      <c r="D174" s="53"/>
      <c r="E174" s="53"/>
      <c r="F174" s="53"/>
      <c r="G174" s="53"/>
      <c r="H174" s="53"/>
      <c r="I174" s="53"/>
      <c r="J174" s="208"/>
    </row>
    <row r="175" spans="2:10" x14ac:dyDescent="0.25">
      <c r="B175" s="52" t="s">
        <v>121</v>
      </c>
      <c r="C175" s="53"/>
      <c r="D175" s="53"/>
      <c r="E175" s="53"/>
      <c r="F175" s="53"/>
      <c r="G175" s="53"/>
      <c r="H175" s="53"/>
      <c r="I175" s="53"/>
      <c r="J175" s="208"/>
    </row>
    <row r="176" spans="2:10" x14ac:dyDescent="0.25">
      <c r="B176" s="52" t="s">
        <v>122</v>
      </c>
      <c r="C176" s="53"/>
      <c r="D176" s="53"/>
      <c r="E176" s="53"/>
      <c r="F176" s="53"/>
      <c r="G176" s="53"/>
      <c r="H176" s="53"/>
      <c r="I176" s="53"/>
      <c r="J176" s="208"/>
    </row>
    <row r="177" spans="2:10" x14ac:dyDescent="0.25">
      <c r="B177" s="52" t="s">
        <v>123</v>
      </c>
      <c r="C177" s="53"/>
      <c r="D177" s="53"/>
      <c r="E177" s="53"/>
      <c r="F177" s="53"/>
      <c r="G177" s="53"/>
      <c r="H177" s="53"/>
      <c r="I177" s="53"/>
      <c r="J177" s="208"/>
    </row>
    <row r="178" spans="2:10" x14ac:dyDescent="0.25">
      <c r="B178" s="54" t="s">
        <v>124</v>
      </c>
      <c r="C178" s="55"/>
      <c r="D178" s="55"/>
      <c r="E178" s="55"/>
      <c r="F178" s="55"/>
      <c r="G178" s="55"/>
      <c r="H178" s="55"/>
      <c r="I178" s="55"/>
      <c r="J178" s="209"/>
    </row>
  </sheetData>
  <pageMargins left="0.78740157499999996" right="0.78740157499999996" top="0.984251969" bottom="0.984251969" header="0.3" footer="0.3"/>
  <pageSetup paperSize="9" orientation="portrait" r:id="rId1"/>
  <ignoredErrors>
    <ignoredError sqref="C15:E15" emptyCellReference="1"/>
    <ignoredError sqref="C57:E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FDAB-8C2A-2943-BC8D-A85E36A09630}">
  <sheetPr>
    <pageSetUpPr fitToPage="1"/>
  </sheetPr>
  <dimension ref="B2:H32"/>
  <sheetViews>
    <sheetView showGridLines="0" zoomScale="120" zoomScaleNormal="120" workbookViewId="0">
      <selection activeCell="G6" sqref="G6"/>
    </sheetView>
  </sheetViews>
  <sheetFormatPr baseColWidth="10" defaultColWidth="10.85546875" defaultRowHeight="15.75" x14ac:dyDescent="0.25"/>
  <cols>
    <col min="1" max="1" width="10.85546875" style="79"/>
    <col min="2" max="2" width="40.7109375" style="79" bestFit="1" customWidth="1"/>
    <col min="3" max="16384" width="10.85546875" style="79"/>
  </cols>
  <sheetData>
    <row r="2" spans="2:8" x14ac:dyDescent="0.25">
      <c r="B2" s="77" t="s">
        <v>152</v>
      </c>
      <c r="C2" s="77">
        <v>2014</v>
      </c>
      <c r="D2" s="77">
        <v>2015</v>
      </c>
      <c r="E2" s="77">
        <v>2016</v>
      </c>
      <c r="F2" s="77">
        <v>2017</v>
      </c>
      <c r="G2" s="77">
        <v>2018</v>
      </c>
      <c r="H2" s="77">
        <v>2019</v>
      </c>
    </row>
    <row r="4" spans="2:8" x14ac:dyDescent="0.25">
      <c r="B4" s="139" t="s">
        <v>56</v>
      </c>
      <c r="C4" s="91">
        <v>34722</v>
      </c>
      <c r="D4" s="91">
        <v>40001</v>
      </c>
      <c r="E4" s="91">
        <v>45827</v>
      </c>
      <c r="F4" s="91">
        <v>49219.316118000002</v>
      </c>
      <c r="G4" s="91">
        <v>56356.090680000001</v>
      </c>
      <c r="H4" s="140"/>
    </row>
    <row r="5" spans="2:8" x14ac:dyDescent="0.25">
      <c r="B5" s="141"/>
      <c r="C5" s="142"/>
      <c r="D5" s="142"/>
      <c r="E5" s="142"/>
      <c r="F5" s="142"/>
      <c r="G5" s="142"/>
      <c r="H5" s="143"/>
    </row>
    <row r="6" spans="2:8" x14ac:dyDescent="0.25">
      <c r="B6" s="141" t="s">
        <v>53</v>
      </c>
      <c r="C6" s="93">
        <v>28644</v>
      </c>
      <c r="D6" s="93">
        <v>6584</v>
      </c>
      <c r="E6" s="93">
        <v>6065</v>
      </c>
      <c r="F6" s="93">
        <v>9627.3339729999971</v>
      </c>
      <c r="G6" s="93">
        <v>13698.716945</v>
      </c>
      <c r="H6" s="143"/>
    </row>
    <row r="7" spans="2:8" x14ac:dyDescent="0.25">
      <c r="B7" s="141"/>
      <c r="C7" s="144">
        <f>C6/C4</f>
        <v>0.82495247969587004</v>
      </c>
      <c r="D7" s="144">
        <f t="shared" ref="D7:G7" si="0">D6/D4</f>
        <v>0.16459588510287243</v>
      </c>
      <c r="E7" s="144">
        <f t="shared" si="0"/>
        <v>0.1323455604774478</v>
      </c>
      <c r="F7" s="144">
        <f t="shared" si="0"/>
        <v>0.19560072614416485</v>
      </c>
      <c r="G7" s="144">
        <f t="shared" si="0"/>
        <v>0.24307429382892745</v>
      </c>
      <c r="H7" s="143"/>
    </row>
    <row r="8" spans="2:8" x14ac:dyDescent="0.25">
      <c r="B8" s="141"/>
      <c r="C8" s="142"/>
      <c r="D8" s="142"/>
      <c r="E8" s="142"/>
      <c r="F8" s="142"/>
      <c r="G8" s="142"/>
      <c r="H8" s="143"/>
    </row>
    <row r="9" spans="2:8" x14ac:dyDescent="0.25">
      <c r="B9" s="141" t="s">
        <v>115</v>
      </c>
      <c r="C9" s="93">
        <v>5788</v>
      </c>
      <c r="D9" s="93">
        <v>883</v>
      </c>
      <c r="E9" s="93">
        <v>1556</v>
      </c>
      <c r="F9" s="93">
        <v>1420.4872949999976</v>
      </c>
      <c r="G9" s="93">
        <v>6275.2910440000005</v>
      </c>
      <c r="H9" s="143"/>
    </row>
    <row r="10" spans="2:8" x14ac:dyDescent="0.25">
      <c r="B10" s="145"/>
      <c r="C10" s="84">
        <f>C9/C4</f>
        <v>0.16669546685098785</v>
      </c>
      <c r="D10" s="84">
        <f t="shared" ref="D10:G10" si="1">D9/D4</f>
        <v>2.207444813879653E-2</v>
      </c>
      <c r="E10" s="84">
        <f t="shared" si="1"/>
        <v>3.3953782704519167E-2</v>
      </c>
      <c r="F10" s="84">
        <f t="shared" si="1"/>
        <v>2.8860362293423071E-2</v>
      </c>
      <c r="G10" s="84">
        <f t="shared" si="1"/>
        <v>0.11135071592584783</v>
      </c>
      <c r="H10" s="146"/>
    </row>
    <row r="11" spans="2:8" x14ac:dyDescent="0.25">
      <c r="H11" s="142"/>
    </row>
    <row r="12" spans="2:8" x14ac:dyDescent="0.25">
      <c r="B12" s="139" t="s">
        <v>147</v>
      </c>
      <c r="C12" s="91">
        <v>205420</v>
      </c>
      <c r="D12" s="91">
        <v>206663</v>
      </c>
      <c r="E12" s="91">
        <v>179009</v>
      </c>
      <c r="F12" s="91">
        <v>184982.38870899999</v>
      </c>
      <c r="G12" s="91">
        <v>175410.12949600001</v>
      </c>
      <c r="H12" s="140"/>
    </row>
    <row r="13" spans="2:8" x14ac:dyDescent="0.25">
      <c r="B13" s="141" t="s">
        <v>132</v>
      </c>
      <c r="C13" s="93">
        <v>93312</v>
      </c>
      <c r="D13" s="93">
        <v>93683</v>
      </c>
      <c r="E13" s="93">
        <v>94744</v>
      </c>
      <c r="F13" s="93">
        <v>95663.352492000005</v>
      </c>
      <c r="G13" s="93">
        <v>101437.61539600001</v>
      </c>
      <c r="H13" s="143"/>
    </row>
    <row r="14" spans="2:8" s="149" customFormat="1" ht="15" x14ac:dyDescent="0.25">
      <c r="B14" s="150" t="s">
        <v>157</v>
      </c>
      <c r="C14" s="151"/>
      <c r="D14" s="151">
        <f>D13-C13</f>
        <v>371</v>
      </c>
      <c r="E14" s="151">
        <f t="shared" ref="E14:G14" si="2">E13-D13</f>
        <v>1061</v>
      </c>
      <c r="F14" s="151">
        <f t="shared" si="2"/>
        <v>919.35249200000544</v>
      </c>
      <c r="G14" s="151">
        <f t="shared" si="2"/>
        <v>5774.2629040000029</v>
      </c>
      <c r="H14" s="152"/>
    </row>
    <row r="15" spans="2:8" x14ac:dyDescent="0.25">
      <c r="B15" s="141" t="s">
        <v>59</v>
      </c>
      <c r="C15" s="93">
        <v>67436</v>
      </c>
      <c r="D15" s="93">
        <v>60292</v>
      </c>
      <c r="E15" s="93">
        <v>50343</v>
      </c>
      <c r="F15" s="93">
        <v>44170.072934999997</v>
      </c>
      <c r="G15" s="93">
        <v>33252.316633000002</v>
      </c>
      <c r="H15" s="143"/>
    </row>
    <row r="16" spans="2:8" s="149" customFormat="1" ht="15" x14ac:dyDescent="0.25">
      <c r="B16" s="150" t="s">
        <v>157</v>
      </c>
      <c r="C16" s="151"/>
      <c r="D16" s="151">
        <f>D15-C15</f>
        <v>-7144</v>
      </c>
      <c r="E16" s="151">
        <f t="shared" ref="E16:G16" si="3">E15-D15</f>
        <v>-9949</v>
      </c>
      <c r="F16" s="151">
        <f t="shared" si="3"/>
        <v>-6172.9270650000035</v>
      </c>
      <c r="G16" s="151">
        <f t="shared" si="3"/>
        <v>-10917.756301999994</v>
      </c>
      <c r="H16" s="152"/>
    </row>
    <row r="17" spans="2:8" x14ac:dyDescent="0.25">
      <c r="B17" s="141"/>
      <c r="C17" s="142"/>
      <c r="D17" s="142"/>
      <c r="E17" s="142"/>
      <c r="F17" s="142"/>
      <c r="G17" s="142"/>
      <c r="H17" s="143"/>
    </row>
    <row r="18" spans="2:8" x14ac:dyDescent="0.25">
      <c r="B18" s="141" t="s">
        <v>58</v>
      </c>
      <c r="C18" s="93">
        <v>8268</v>
      </c>
      <c r="D18" s="93">
        <v>5993</v>
      </c>
      <c r="E18" s="93">
        <v>6476</v>
      </c>
      <c r="F18" s="93">
        <v>4736.1109939999997</v>
      </c>
      <c r="G18" s="93">
        <v>8571.3010149999991</v>
      </c>
      <c r="H18" s="143"/>
    </row>
    <row r="19" spans="2:8" x14ac:dyDescent="0.25">
      <c r="B19" s="141" t="s">
        <v>60</v>
      </c>
      <c r="C19" s="93">
        <v>10239</v>
      </c>
      <c r="D19" s="93">
        <v>18085</v>
      </c>
      <c r="E19" s="93">
        <v>15314</v>
      </c>
      <c r="F19" s="93">
        <v>18972.143581</v>
      </c>
      <c r="G19" s="93">
        <v>9223.6810719999994</v>
      </c>
      <c r="H19" s="143"/>
    </row>
    <row r="20" spans="2:8" x14ac:dyDescent="0.25">
      <c r="B20" s="141" t="s">
        <v>154</v>
      </c>
      <c r="C20" s="93">
        <f>C18-C19</f>
        <v>-1971</v>
      </c>
      <c r="D20" s="93">
        <f t="shared" ref="D20:G20" si="4">D18-D19</f>
        <v>-12092</v>
      </c>
      <c r="E20" s="93">
        <f t="shared" si="4"/>
        <v>-8838</v>
      </c>
      <c r="F20" s="93">
        <f t="shared" si="4"/>
        <v>-14236.032587000002</v>
      </c>
      <c r="G20" s="93">
        <f t="shared" si="4"/>
        <v>-652.38005700000031</v>
      </c>
      <c r="H20" s="143"/>
    </row>
    <row r="21" spans="2:8" x14ac:dyDescent="0.25">
      <c r="B21" s="141"/>
      <c r="C21" s="93"/>
      <c r="D21" s="93"/>
      <c r="E21" s="93"/>
      <c r="F21" s="93"/>
      <c r="G21" s="93"/>
      <c r="H21" s="143"/>
    </row>
    <row r="22" spans="2:8" x14ac:dyDescent="0.25">
      <c r="B22" s="145" t="s">
        <v>155</v>
      </c>
      <c r="C22" s="98">
        <f>C15+C19-C18</f>
        <v>69407</v>
      </c>
      <c r="D22" s="98">
        <f t="shared" ref="D22:G22" si="5">D15+D19-D18</f>
        <v>72384</v>
      </c>
      <c r="E22" s="98">
        <f t="shared" si="5"/>
        <v>59181</v>
      </c>
      <c r="F22" s="98">
        <f t="shared" si="5"/>
        <v>58406.105521999998</v>
      </c>
      <c r="G22" s="98">
        <f t="shared" si="5"/>
        <v>33904.696690000004</v>
      </c>
      <c r="H22" s="146"/>
    </row>
    <row r="23" spans="2:8" x14ac:dyDescent="0.25">
      <c r="H23" s="142"/>
    </row>
    <row r="24" spans="2:8" x14ac:dyDescent="0.25">
      <c r="B24" s="139" t="s">
        <v>148</v>
      </c>
      <c r="C24" s="82">
        <f>C9/C4</f>
        <v>0.16669546685098785</v>
      </c>
      <c r="D24" s="82">
        <f t="shared" ref="D24:G24" si="6">D9/D4</f>
        <v>2.207444813879653E-2</v>
      </c>
      <c r="E24" s="82">
        <f t="shared" si="6"/>
        <v>3.3953782704519167E-2</v>
      </c>
      <c r="F24" s="82">
        <f t="shared" si="6"/>
        <v>2.8860362293423071E-2</v>
      </c>
      <c r="G24" s="82">
        <f t="shared" si="6"/>
        <v>0.11135071592584783</v>
      </c>
      <c r="H24" s="140"/>
    </row>
    <row r="25" spans="2:8" x14ac:dyDescent="0.25">
      <c r="B25" s="141" t="s">
        <v>127</v>
      </c>
      <c r="C25" s="144">
        <f>C4/C12</f>
        <v>0.16902930581248174</v>
      </c>
      <c r="D25" s="144">
        <f t="shared" ref="D25:G25" si="7">D4/D12</f>
        <v>0.19355665987622361</v>
      </c>
      <c r="E25" s="144">
        <f t="shared" si="7"/>
        <v>0.25600388807266672</v>
      </c>
      <c r="F25" s="144">
        <f t="shared" si="7"/>
        <v>0.266075686780259</v>
      </c>
      <c r="G25" s="144">
        <f t="shared" si="7"/>
        <v>0.32128184867046189</v>
      </c>
      <c r="H25" s="143"/>
    </row>
    <row r="26" spans="2:8" x14ac:dyDescent="0.25">
      <c r="B26" s="141" t="s">
        <v>158</v>
      </c>
      <c r="C26" s="144">
        <f>C12/C13</f>
        <v>2.2014317558299039</v>
      </c>
      <c r="D26" s="144">
        <f t="shared" ref="D26:G26" si="8">D12/D13</f>
        <v>2.2059818750467</v>
      </c>
      <c r="E26" s="144">
        <f t="shared" si="8"/>
        <v>1.8893966900278645</v>
      </c>
      <c r="F26" s="144">
        <f t="shared" si="8"/>
        <v>1.9336808076475203</v>
      </c>
      <c r="G26" s="144">
        <f t="shared" si="8"/>
        <v>1.7292414535891876</v>
      </c>
      <c r="H26" s="143"/>
    </row>
    <row r="27" spans="2:8" x14ac:dyDescent="0.25">
      <c r="B27" s="141"/>
      <c r="C27" s="153"/>
      <c r="D27" s="153"/>
      <c r="E27" s="153"/>
      <c r="F27" s="153"/>
      <c r="G27" s="153"/>
      <c r="H27" s="143"/>
    </row>
    <row r="28" spans="2:8" x14ac:dyDescent="0.25">
      <c r="B28" s="141" t="s">
        <v>149</v>
      </c>
      <c r="C28" s="147">
        <f>C9/C12</f>
        <v>2.8176419043910036E-2</v>
      </c>
      <c r="D28" s="147">
        <f>D9/D12</f>
        <v>4.2726564503563769E-3</v>
      </c>
      <c r="E28" s="147">
        <f>E9/E12</f>
        <v>8.6923003871313739E-3</v>
      </c>
      <c r="F28" s="147">
        <f>F9/F12</f>
        <v>7.6790407179496345E-3</v>
      </c>
      <c r="G28" s="147">
        <f>G9/G12</f>
        <v>3.5774963863435837E-2</v>
      </c>
      <c r="H28" s="143"/>
    </row>
    <row r="29" spans="2:8" x14ac:dyDescent="0.25">
      <c r="B29" s="141" t="s">
        <v>150</v>
      </c>
      <c r="C29" s="147">
        <f>C9/C13</f>
        <v>6.202846364883402E-2</v>
      </c>
      <c r="D29" s="147">
        <f t="shared" ref="D29:G29" si="9">D9/D13</f>
        <v>9.4254026877875381E-3</v>
      </c>
      <c r="E29" s="147">
        <f t="shared" si="9"/>
        <v>1.6423203580173941E-2</v>
      </c>
      <c r="F29" s="147">
        <f t="shared" si="9"/>
        <v>1.4848813657443043E-2</v>
      </c>
      <c r="G29" s="147">
        <f t="shared" si="9"/>
        <v>6.1863550513308441E-2</v>
      </c>
      <c r="H29" s="143"/>
    </row>
    <row r="30" spans="2:8" x14ac:dyDescent="0.25">
      <c r="B30" s="141"/>
      <c r="C30" s="142"/>
      <c r="D30" s="142"/>
      <c r="E30" s="142"/>
      <c r="F30" s="142"/>
      <c r="G30" s="142"/>
      <c r="H30" s="143"/>
    </row>
    <row r="31" spans="2:8" x14ac:dyDescent="0.25">
      <c r="B31" s="141" t="s">
        <v>156</v>
      </c>
      <c r="C31" s="144">
        <f>C15/C13</f>
        <v>0.72269375857338825</v>
      </c>
      <c r="D31" s="144">
        <f t="shared" ref="D31:G31" si="10">D15/D13</f>
        <v>0.64357460798650767</v>
      </c>
      <c r="E31" s="144">
        <f t="shared" si="10"/>
        <v>0.53135818627037068</v>
      </c>
      <c r="F31" s="144">
        <f t="shared" si="10"/>
        <v>0.46172407493970885</v>
      </c>
      <c r="G31" s="144">
        <f t="shared" si="10"/>
        <v>0.32781051194063499</v>
      </c>
      <c r="H31" s="143"/>
    </row>
    <row r="32" spans="2:8" x14ac:dyDescent="0.25">
      <c r="B32" s="145" t="s">
        <v>151</v>
      </c>
      <c r="C32" s="148" t="e">
        <f>C6/(#REF!/1000000)</f>
        <v>#REF!</v>
      </c>
      <c r="D32" s="148" t="e">
        <f>D6/(#REF!/1000000)</f>
        <v>#REF!</v>
      </c>
      <c r="E32" s="148" t="e">
        <f>E6/(#REF!/1000000)</f>
        <v>#REF!</v>
      </c>
      <c r="F32" s="148" t="e">
        <f>F6/(#REF!/1000000)</f>
        <v>#REF!</v>
      </c>
      <c r="G32" s="148" t="e">
        <f>G6/(#REF!/1000000)</f>
        <v>#REF!</v>
      </c>
      <c r="H32" s="146"/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02E6-BF24-2646-A4C8-965524CA5F58}">
  <dimension ref="C5:L47"/>
  <sheetViews>
    <sheetView showGridLines="0" workbookViewId="0">
      <selection activeCell="L38" sqref="L38"/>
    </sheetView>
  </sheetViews>
  <sheetFormatPr baseColWidth="10" defaultColWidth="10.85546875" defaultRowHeight="15.75" x14ac:dyDescent="0.25"/>
  <cols>
    <col min="1" max="1" width="10.85546875" style="17"/>
    <col min="2" max="2" width="1.7109375" style="17" customWidth="1"/>
    <col min="3" max="3" width="35.28515625" style="17" bestFit="1" customWidth="1"/>
    <col min="4" max="8" width="9.140625" style="17" customWidth="1"/>
    <col min="9" max="9" width="3.140625" style="17" customWidth="1"/>
    <col min="10" max="10" width="9.140625" style="17" customWidth="1"/>
    <col min="11" max="11" width="3.28515625" style="17" customWidth="1"/>
    <col min="12" max="12" width="10" style="17" customWidth="1"/>
    <col min="13" max="13" width="1.7109375" style="17" customWidth="1"/>
    <col min="14" max="16384" width="10.85546875" style="17"/>
  </cols>
  <sheetData>
    <row r="5" spans="3:12" s="20" customFormat="1" x14ac:dyDescent="0.25">
      <c r="D5" s="77">
        <v>2015</v>
      </c>
      <c r="E5" s="77">
        <v>2016</v>
      </c>
      <c r="F5" s="77">
        <v>2017</v>
      </c>
      <c r="G5" s="77">
        <v>2018</v>
      </c>
      <c r="H5" s="77">
        <v>2019</v>
      </c>
      <c r="J5" s="77" t="s">
        <v>129</v>
      </c>
      <c r="L5" s="77" t="s">
        <v>125</v>
      </c>
    </row>
    <row r="6" spans="3:12" x14ac:dyDescent="0.25">
      <c r="C6" s="75" t="s">
        <v>126</v>
      </c>
      <c r="D6" s="82" t="e">
        <f>'Synthèse données &amp; ratios'!E146/100</f>
        <v>#REF!</v>
      </c>
      <c r="E6" s="82">
        <f>'Synthèse données &amp; ratios'!F146/100</f>
        <v>3.3953782704519167E-2</v>
      </c>
      <c r="F6" s="82">
        <f>'Synthèse données &amp; ratios'!G146/100</f>
        <v>2.8860362293423068E-2</v>
      </c>
      <c r="G6" s="82">
        <f>'Synthèse données &amp; ratios'!H146/100</f>
        <v>0.11135071592584783</v>
      </c>
      <c r="H6" s="83">
        <f>'Synthèse données &amp; ratios'!I146/100</f>
        <v>0.22707153407569269</v>
      </c>
      <c r="I6" s="33"/>
      <c r="J6" s="86" t="e">
        <f>AVERAGE(D6:H6)</f>
        <v>#REF!</v>
      </c>
      <c r="L6" s="79">
        <v>4</v>
      </c>
    </row>
    <row r="7" spans="3:12" x14ac:dyDescent="0.25">
      <c r="C7" s="48" t="s">
        <v>130</v>
      </c>
      <c r="D7" s="84" t="e">
        <f>'Synthèse données &amp; ratios'!E147/100</f>
        <v>#REF!</v>
      </c>
      <c r="E7" s="84">
        <f>'Synthèse données &amp; ratios'!F147/100</f>
        <v>0.25600388807266677</v>
      </c>
      <c r="F7" s="84">
        <f>'Synthèse données &amp; ratios'!G147/100</f>
        <v>0.266075686780259</v>
      </c>
      <c r="G7" s="84">
        <f>'Synthèse données &amp; ratios'!H147/100</f>
        <v>0.32128184867046189</v>
      </c>
      <c r="H7" s="85">
        <f>'Synthèse données &amp; ratios'!I147/100</f>
        <v>0.32462911690270224</v>
      </c>
      <c r="I7" s="33"/>
      <c r="J7" s="87" t="e">
        <f>AVERAGE(D7:H7)</f>
        <v>#REF!</v>
      </c>
      <c r="L7" s="79">
        <v>5</v>
      </c>
    </row>
    <row r="8" spans="3:12" x14ac:dyDescent="0.25">
      <c r="D8" s="79"/>
      <c r="E8" s="79"/>
      <c r="F8" s="79"/>
      <c r="G8" s="79"/>
      <c r="H8" s="79"/>
      <c r="J8" s="79"/>
    </row>
    <row r="9" spans="3:12" x14ac:dyDescent="0.25">
      <c r="C9" s="95" t="s">
        <v>131</v>
      </c>
      <c r="D9" s="171" t="e">
        <f>'Synthèse données &amp; ratios'!E150/100</f>
        <v>#REF!</v>
      </c>
      <c r="E9" s="171">
        <f>'Synthèse données &amp; ratios'!F150/100</f>
        <v>8.6923003871313739E-3</v>
      </c>
      <c r="F9" s="171">
        <f>'Synthèse données &amp; ratios'!G150/100</f>
        <v>7.6790407179496336E-3</v>
      </c>
      <c r="G9" s="171">
        <f>'Synthèse données &amp; ratios'!H150/100</f>
        <v>3.5774963863435837E-2</v>
      </c>
      <c r="H9" s="172">
        <f>'Synthèse données &amp; ratios'!I150/100</f>
        <v>7.3714031580733974E-2</v>
      </c>
      <c r="I9" s="20"/>
      <c r="J9" s="173" t="e">
        <f>AVERAGE(D9:H9)</f>
        <v>#REF!</v>
      </c>
      <c r="L9" s="79">
        <v>5</v>
      </c>
    </row>
    <row r="10" spans="3:12" x14ac:dyDescent="0.25">
      <c r="D10" s="79"/>
      <c r="E10" s="79"/>
      <c r="F10" s="79"/>
      <c r="G10" s="79"/>
      <c r="H10" s="79"/>
      <c r="J10" s="79"/>
    </row>
    <row r="11" spans="3:12" x14ac:dyDescent="0.25">
      <c r="C11" s="170" t="s">
        <v>177</v>
      </c>
      <c r="D11" s="174" t="e">
        <f>+'Synthèse données &amp; ratios'!E148/100</f>
        <v>#REF!</v>
      </c>
      <c r="E11" s="174">
        <f>+'Synthèse données &amp; ratios'!F148/100</f>
        <v>1.8893966900278645</v>
      </c>
      <c r="F11" s="174">
        <f>+'Synthèse données &amp; ratios'!G148/100</f>
        <v>1.9336808076475203</v>
      </c>
      <c r="G11" s="174">
        <f>+'Synthèse données &amp; ratios'!H148/100</f>
        <v>1.7292414535891873</v>
      </c>
      <c r="H11" s="175">
        <f>+'Synthèse données &amp; ratios'!I148/100</f>
        <v>1.6753644169730793</v>
      </c>
      <c r="J11" s="173" t="e">
        <f>AVERAGE(D11:H11)</f>
        <v>#REF!</v>
      </c>
      <c r="L11" s="79">
        <v>4</v>
      </c>
    </row>
    <row r="13" spans="3:12" x14ac:dyDescent="0.25">
      <c r="C13" s="95" t="s">
        <v>128</v>
      </c>
      <c r="D13" s="171" t="e">
        <f>'Synthèse données &amp; ratios'!E149/100</f>
        <v>#REF!</v>
      </c>
      <c r="E13" s="171">
        <f>'Synthèse données &amp; ratios'!F149/100</f>
        <v>1.6423203580173941E-2</v>
      </c>
      <c r="F13" s="171">
        <f>'Synthèse données &amp; ratios'!G149/100</f>
        <v>1.4848813657443043E-2</v>
      </c>
      <c r="G13" s="171">
        <f>'Synthèse données &amp; ratios'!H149/100</f>
        <v>6.1863550513308441E-2</v>
      </c>
      <c r="H13" s="172">
        <f>'Synthèse données &amp; ratios'!I149/100</f>
        <v>0.12349786554199155</v>
      </c>
      <c r="I13" s="20"/>
      <c r="J13" s="173" t="e">
        <f>AVERAGE(D13:H13)</f>
        <v>#REF!</v>
      </c>
      <c r="L13" s="79">
        <v>5</v>
      </c>
    </row>
    <row r="18" spans="3:12" x14ac:dyDescent="0.25">
      <c r="D18" s="77">
        <v>2015</v>
      </c>
      <c r="E18" s="77">
        <v>2016</v>
      </c>
      <c r="F18" s="77">
        <v>2017</v>
      </c>
      <c r="G18" s="77">
        <v>2018</v>
      </c>
      <c r="H18" s="77">
        <v>2019</v>
      </c>
      <c r="I18" s="20"/>
      <c r="J18" s="77" t="s">
        <v>129</v>
      </c>
      <c r="K18" s="20"/>
      <c r="L18" s="77" t="s">
        <v>125</v>
      </c>
    </row>
    <row r="19" spans="3:12" x14ac:dyDescent="0.25">
      <c r="C19" s="75" t="s">
        <v>133</v>
      </c>
      <c r="D19" s="80" t="e">
        <f>'Synthèse données &amp; ratios'!E155/100</f>
        <v>#REF!</v>
      </c>
      <c r="E19" s="80">
        <f>'Synthèse données &amp; ratios'!F155/100</f>
        <v>0.28412537917087965</v>
      </c>
      <c r="F19" s="80">
        <f>'Synthèse données &amp; ratios'!G155/100</f>
        <v>0.3510716933824542</v>
      </c>
      <c r="G19" s="80">
        <f>'Synthèse données &amp; ratios'!H155/100</f>
        <v>0.30952387849550095</v>
      </c>
      <c r="H19" s="81">
        <f>'Synthèse données &amp; ratios'!I155/100</f>
        <v>0.32576240075170226</v>
      </c>
      <c r="I19" s="78"/>
      <c r="J19" s="88" t="e">
        <f>AVERAGE(D19:H19)</f>
        <v>#REF!</v>
      </c>
      <c r="L19" s="79">
        <v>2</v>
      </c>
    </row>
    <row r="20" spans="3:12" x14ac:dyDescent="0.25">
      <c r="C20" s="21" t="s">
        <v>134</v>
      </c>
      <c r="D20" s="89" t="e">
        <f>'Synthèse données &amp; ratios'!E154/100</f>
        <v>#REF!</v>
      </c>
      <c r="E20" s="89">
        <f>'Synthèse données &amp; ratios'!F154/100</f>
        <v>2.7332867583834908</v>
      </c>
      <c r="F20" s="89">
        <f>'Synthèse données &amp; ratios'!G154/100</f>
        <v>2.480900322949434</v>
      </c>
      <c r="G20" s="89">
        <f>'Synthèse données &amp; ratios'!H154/100</f>
        <v>1.7237977345843551</v>
      </c>
      <c r="H20" s="90">
        <f>'Synthèse données &amp; ratios'!I154/100</f>
        <v>1.6752006812619524</v>
      </c>
      <c r="J20" s="88" t="e">
        <f>AVERAGE(D20:H20)</f>
        <v>#REF!</v>
      </c>
      <c r="L20" s="79">
        <v>2</v>
      </c>
    </row>
    <row r="21" spans="3:12" x14ac:dyDescent="0.25">
      <c r="C21" s="48" t="s">
        <v>135</v>
      </c>
      <c r="D21" s="84" t="e">
        <f>+'Synthèse données &amp; ratios'!E156/1000</f>
        <v>#REF!</v>
      </c>
      <c r="E21" s="84">
        <f>+'Synthèse données &amp; ratios'!F156/1000</f>
        <v>0.1192443618909856</v>
      </c>
      <c r="F21" s="84">
        <f>+'Synthèse données &amp; ratios'!G156/1000</f>
        <v>0.12127393994300675</v>
      </c>
      <c r="G21" s="84">
        <f>+'Synthèse données &amp; ratios'!H156/1000</f>
        <v>0.11967674934029311</v>
      </c>
      <c r="H21" s="85">
        <f>+'Synthèse données &amp; ratios'!I156/1000</f>
        <v>0.13290203351179433</v>
      </c>
      <c r="J21" s="88" t="e">
        <f>AVERAGE(D21:H21)</f>
        <v>#REF!</v>
      </c>
      <c r="L21" s="79">
        <v>2</v>
      </c>
    </row>
    <row r="24" spans="3:12" x14ac:dyDescent="0.25">
      <c r="D24" s="77">
        <v>2015</v>
      </c>
      <c r="E24" s="77">
        <v>2016</v>
      </c>
      <c r="F24" s="77">
        <v>2017</v>
      </c>
      <c r="G24" s="77">
        <v>2018</v>
      </c>
      <c r="H24" s="77">
        <v>2019</v>
      </c>
      <c r="I24" s="20"/>
    </row>
    <row r="25" spans="3:12" x14ac:dyDescent="0.25">
      <c r="C25" s="75" t="s">
        <v>136</v>
      </c>
      <c r="D25" s="91" t="e">
        <f>'Synthèse données &amp; ratios'!E53</f>
        <v>#REF!</v>
      </c>
      <c r="E25" s="91">
        <f>'Synthèse données &amp; ratios'!F53</f>
        <v>6476</v>
      </c>
      <c r="F25" s="91">
        <f>'Synthèse données &amp; ratios'!G53</f>
        <v>4736.1109939999997</v>
      </c>
      <c r="G25" s="91">
        <f>'Synthèse données &amp; ratios'!H53</f>
        <v>8571.3010149999991</v>
      </c>
      <c r="H25" s="92">
        <f>'Synthèse données &amp; ratios'!I53</f>
        <v>13149.809164</v>
      </c>
    </row>
    <row r="26" spans="3:12" x14ac:dyDescent="0.25">
      <c r="C26" s="21" t="s">
        <v>137</v>
      </c>
      <c r="D26" s="93" t="e">
        <f>'Synthèse données &amp; ratios'!E71</f>
        <v>#REF!</v>
      </c>
      <c r="E26" s="93">
        <f>'Synthèse données &amp; ratios'!F71</f>
        <v>15314</v>
      </c>
      <c r="F26" s="93">
        <f>'Synthèse données &amp; ratios'!G71</f>
        <v>18972.143581</v>
      </c>
      <c r="G26" s="93">
        <f>'Synthèse données &amp; ratios'!H71</f>
        <v>9223.6810719999994</v>
      </c>
      <c r="H26" s="94">
        <f>'Synthèse données &amp; ratios'!I71</f>
        <v>354.92410899999999</v>
      </c>
    </row>
    <row r="27" spans="3:12" x14ac:dyDescent="0.25">
      <c r="C27" s="95" t="s">
        <v>138</v>
      </c>
      <c r="D27" s="96" t="e">
        <f>D25-D26</f>
        <v>#REF!</v>
      </c>
      <c r="E27" s="96">
        <f t="shared" ref="E27:H27" si="0">E25-E26</f>
        <v>-8838</v>
      </c>
      <c r="F27" s="96">
        <f t="shared" si="0"/>
        <v>-14236.032587000002</v>
      </c>
      <c r="G27" s="96">
        <f t="shared" si="0"/>
        <v>-652.38005700000031</v>
      </c>
      <c r="H27" s="97">
        <f t="shared" si="0"/>
        <v>12794.885055000001</v>
      </c>
      <c r="J27" s="20"/>
      <c r="K27" s="20"/>
      <c r="L27" s="20"/>
    </row>
    <row r="30" spans="3:12" x14ac:dyDescent="0.25">
      <c r="D30" s="77">
        <v>2015</v>
      </c>
      <c r="E30" s="77">
        <v>2016</v>
      </c>
      <c r="F30" s="77">
        <v>2017</v>
      </c>
      <c r="G30" s="77">
        <v>2018</v>
      </c>
      <c r="H30" s="77">
        <v>2019</v>
      </c>
      <c r="J30" s="77" t="s">
        <v>129</v>
      </c>
      <c r="K30" s="20"/>
      <c r="L30" s="77" t="s">
        <v>125</v>
      </c>
    </row>
    <row r="31" spans="3:12" x14ac:dyDescent="0.25">
      <c r="C31" s="75" t="s">
        <v>139</v>
      </c>
      <c r="D31" s="91" t="e">
        <f>'Synthèse données &amp; ratios'!E64</f>
        <v>#REF!</v>
      </c>
      <c r="E31" s="91">
        <f>'Synthèse données &amp; ratios'!F64</f>
        <v>50343</v>
      </c>
      <c r="F31" s="91">
        <f>'Synthèse données &amp; ratios'!G64</f>
        <v>44170.072934999997</v>
      </c>
      <c r="G31" s="91">
        <f>'Synthèse données &amp; ratios'!H64</f>
        <v>33252.316633000002</v>
      </c>
      <c r="H31" s="92">
        <f>'Synthèse données &amp; ratios'!I64</f>
        <v>39103.371370000001</v>
      </c>
      <c r="J31" s="102"/>
      <c r="L31" s="102"/>
    </row>
    <row r="32" spans="3:12" x14ac:dyDescent="0.25">
      <c r="C32" s="21" t="s">
        <v>140</v>
      </c>
      <c r="D32" s="93" t="e">
        <f>'Synthèse données &amp; ratios'!E71</f>
        <v>#REF!</v>
      </c>
      <c r="E32" s="93">
        <f>'Synthèse données &amp; ratios'!F71</f>
        <v>15314</v>
      </c>
      <c r="F32" s="93">
        <f>'Synthèse données &amp; ratios'!G71</f>
        <v>18972.143581</v>
      </c>
      <c r="G32" s="93">
        <f>'Synthèse données &amp; ratios'!H71</f>
        <v>9223.6810719999994</v>
      </c>
      <c r="H32" s="94">
        <f>'Synthèse données &amp; ratios'!I71</f>
        <v>354.92410899999999</v>
      </c>
      <c r="J32" s="102"/>
      <c r="L32" s="102"/>
    </row>
    <row r="33" spans="3:12" x14ac:dyDescent="0.25">
      <c r="C33" s="48" t="s">
        <v>132</v>
      </c>
      <c r="D33" s="98" t="e">
        <f>'Synthèse données &amp; ratios'!E63</f>
        <v>#REF!</v>
      </c>
      <c r="E33" s="98">
        <f>'Synthèse données &amp; ratios'!F63</f>
        <v>94744</v>
      </c>
      <c r="F33" s="98">
        <f>'Synthèse données &amp; ratios'!G63</f>
        <v>95663.352492000005</v>
      </c>
      <c r="G33" s="98">
        <f>'Synthèse données &amp; ratios'!H63</f>
        <v>101437.61539600001</v>
      </c>
      <c r="H33" s="99">
        <f>'Synthèse données &amp; ratios'!I63</f>
        <v>112876.60733099999</v>
      </c>
      <c r="J33" s="102"/>
      <c r="L33" s="102"/>
    </row>
    <row r="34" spans="3:12" s="20" customFormat="1" x14ac:dyDescent="0.25">
      <c r="C34" s="95" t="s">
        <v>141</v>
      </c>
      <c r="D34" s="100" t="e">
        <f>(D31+D32)/D33</f>
        <v>#REF!</v>
      </c>
      <c r="E34" s="100">
        <f t="shared" ref="E34:H34" si="1">(E31+E32)/E33</f>
        <v>0.69299375158321375</v>
      </c>
      <c r="F34" s="100">
        <f t="shared" si="1"/>
        <v>0.66004603509249127</v>
      </c>
      <c r="G34" s="100">
        <f t="shared" si="1"/>
        <v>0.4187401048336844</v>
      </c>
      <c r="H34" s="101">
        <f t="shared" si="1"/>
        <v>0.34957017589386147</v>
      </c>
      <c r="J34" s="88" t="e">
        <f>AVERAGE(D34:H34)</f>
        <v>#REF!</v>
      </c>
      <c r="K34" s="77"/>
      <c r="L34" s="77"/>
    </row>
    <row r="37" spans="3:12" x14ac:dyDescent="0.25">
      <c r="D37" s="77">
        <v>2015</v>
      </c>
      <c r="E37" s="77">
        <v>2016</v>
      </c>
      <c r="F37" s="77">
        <v>2017</v>
      </c>
      <c r="G37" s="77">
        <v>2018</v>
      </c>
      <c r="H37" s="77">
        <v>2019</v>
      </c>
    </row>
    <row r="38" spans="3:12" x14ac:dyDescent="0.25">
      <c r="C38" s="103" t="s">
        <v>142</v>
      </c>
      <c r="D38" s="104">
        <f>'Synthèse données &amp; ratios'!E77</f>
        <v>1878</v>
      </c>
      <c r="E38" s="104">
        <f>'Synthèse données &amp; ratios'!F77</f>
        <v>5710</v>
      </c>
      <c r="F38" s="104">
        <f>'Synthèse données &amp; ratios'!G77</f>
        <v>6420</v>
      </c>
      <c r="G38" s="104">
        <f>'Synthèse données &amp; ratios'!H77</f>
        <v>10659</v>
      </c>
      <c r="H38" s="105">
        <f>'Synthèse données &amp; ratios'!I77</f>
        <v>19063.942999999999</v>
      </c>
    </row>
    <row r="39" spans="3:12" x14ac:dyDescent="0.25">
      <c r="C39" s="69" t="s">
        <v>97</v>
      </c>
      <c r="D39" s="30">
        <f>'Synthèse données &amp; ratios'!E78</f>
        <v>-3604</v>
      </c>
      <c r="E39" s="30">
        <f>'Synthèse données &amp; ratios'!F78</f>
        <v>10068</v>
      </c>
      <c r="F39" s="30">
        <f>'Synthèse données &amp; ratios'!G78</f>
        <v>-9363</v>
      </c>
      <c r="G39" s="30">
        <f>'Synthèse données &amp; ratios'!H78</f>
        <v>15961</v>
      </c>
      <c r="H39" s="31">
        <f>'Synthèse données &amp; ratios'!I78</f>
        <v>-2040.36</v>
      </c>
    </row>
    <row r="40" spans="3:12" x14ac:dyDescent="0.25">
      <c r="C40" s="69" t="s">
        <v>98</v>
      </c>
      <c r="D40" s="30">
        <f>'Synthèse données &amp; ratios'!E79</f>
        <v>-4855</v>
      </c>
      <c r="E40" s="30">
        <f>'Synthèse données &amp; ratios'!F79</f>
        <v>-3621</v>
      </c>
      <c r="F40" s="30">
        <f>'Synthèse données &amp; ratios'!G79</f>
        <v>3090</v>
      </c>
      <c r="G40" s="30">
        <f>'Synthèse données &amp; ratios'!H79</f>
        <v>-2503</v>
      </c>
      <c r="H40" s="31">
        <f>'Synthèse données &amp; ratios'!I79</f>
        <v>-6828.3</v>
      </c>
    </row>
    <row r="41" spans="3:12" x14ac:dyDescent="0.25">
      <c r="C41" s="106" t="s">
        <v>99</v>
      </c>
      <c r="D41" s="107">
        <f>'Synthèse données &amp; ratios'!E80</f>
        <v>-6676</v>
      </c>
      <c r="E41" s="107">
        <f>'Synthèse données &amp; ratios'!F80</f>
        <v>-10735</v>
      </c>
      <c r="F41" s="107">
        <f>'Synthèse données &amp; ratios'!G80</f>
        <v>-9783</v>
      </c>
      <c r="G41" s="107">
        <f>'Synthèse données &amp; ratios'!H80</f>
        <v>-11722</v>
      </c>
      <c r="H41" s="108">
        <f>'Synthèse données &amp; ratios'!I80</f>
        <v>-20187.218000000001</v>
      </c>
    </row>
    <row r="42" spans="3:12" x14ac:dyDescent="0.25">
      <c r="C42" s="109" t="s">
        <v>143</v>
      </c>
      <c r="D42" s="110">
        <f>SUM(D38:D41)</f>
        <v>-13257</v>
      </c>
      <c r="E42" s="110">
        <f t="shared" ref="E42:G42" si="2">SUM(E38:E41)</f>
        <v>1422</v>
      </c>
      <c r="F42" s="110">
        <f t="shared" si="2"/>
        <v>-9636</v>
      </c>
      <c r="G42" s="110">
        <f t="shared" si="2"/>
        <v>12395</v>
      </c>
      <c r="H42" s="111">
        <f>SUM(H38:H41)</f>
        <v>-9991.9350000000013</v>
      </c>
    </row>
    <row r="45" spans="3:12" x14ac:dyDescent="0.25">
      <c r="D45" s="77">
        <v>2015</v>
      </c>
      <c r="E45" s="77">
        <v>2016</v>
      </c>
      <c r="F45" s="77">
        <v>2017</v>
      </c>
      <c r="G45" s="77">
        <v>2018</v>
      </c>
      <c r="H45" s="77">
        <v>2019</v>
      </c>
      <c r="J45" s="77" t="s">
        <v>129</v>
      </c>
      <c r="K45" s="20"/>
      <c r="L45" s="77" t="s">
        <v>125</v>
      </c>
    </row>
    <row r="46" spans="3:12" x14ac:dyDescent="0.25">
      <c r="C46" s="75" t="s">
        <v>145</v>
      </c>
      <c r="D46" s="176" t="e">
        <f>'Synthèse données &amp; ratios'!E164</f>
        <v>#REF!</v>
      </c>
      <c r="E46" s="176">
        <f>'Synthèse données &amp; ratios'!F164</f>
        <v>0.8394463667820069</v>
      </c>
      <c r="F46" s="176">
        <f>'Synthèse données &amp; ratios'!G164</f>
        <v>1.9193711137833838</v>
      </c>
      <c r="G46" s="176">
        <f>'Synthèse données &amp; ratios'!H164</f>
        <v>3.4635962574848418</v>
      </c>
      <c r="H46" s="177">
        <f>'Synthèse données &amp; ratios'!I164</f>
        <v>7.8829113329168923</v>
      </c>
      <c r="J46" s="112" t="e">
        <f>AVERAGE(D46:H46)</f>
        <v>#REF!</v>
      </c>
      <c r="L46" s="79">
        <v>1</v>
      </c>
    </row>
    <row r="47" spans="3:12" x14ac:dyDescent="0.25">
      <c r="C47" s="48" t="s">
        <v>144</v>
      </c>
      <c r="D47" s="148" t="e">
        <f>'Synthèse données &amp; ratios'!E165</f>
        <v>#REF!</v>
      </c>
      <c r="E47" s="148">
        <f>'Synthèse données &amp; ratios'!F165</f>
        <v>10.825556471558121</v>
      </c>
      <c r="F47" s="148">
        <f>'Synthèse données &amp; ratios'!G165</f>
        <v>6.5586398781929969</v>
      </c>
      <c r="G47" s="148">
        <f>'Synthèse données &amp; ratios'!H165</f>
        <v>3.1007281831970142</v>
      </c>
      <c r="H47" s="178">
        <f>'Synthèse données &amp; ratios'!I165</f>
        <v>1.8334721301566561</v>
      </c>
      <c r="J47" s="113" t="e">
        <f>AVERAGE(D47:H47)</f>
        <v>#REF!</v>
      </c>
      <c r="L47" s="79">
        <v>1</v>
      </c>
    </row>
  </sheetData>
  <pageMargins left="0.7" right="0.7" top="0.75" bottom="0.75" header="0.3" footer="0.3"/>
  <ignoredErrors>
    <ignoredError sqref="H4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3AA8-854F-B84F-A760-25D77F5B0EBB}">
  <dimension ref="E8:I13"/>
  <sheetViews>
    <sheetView workbookViewId="0">
      <selection activeCell="G20" sqref="G20"/>
    </sheetView>
  </sheetViews>
  <sheetFormatPr baseColWidth="10" defaultRowHeight="15" x14ac:dyDescent="0.25"/>
  <cols>
    <col min="5" max="5" width="15" customWidth="1"/>
    <col min="6" max="6" width="13.28515625" customWidth="1"/>
    <col min="7" max="7" width="35.28515625" customWidth="1"/>
    <col min="8" max="10" width="13.28515625" customWidth="1"/>
  </cols>
  <sheetData>
    <row r="8" spans="5:9" x14ac:dyDescent="0.25">
      <c r="E8" s="223"/>
      <c r="F8" s="223"/>
      <c r="G8" s="223"/>
      <c r="H8" s="223"/>
      <c r="I8" s="223"/>
    </row>
    <row r="9" spans="5:9" ht="45" x14ac:dyDescent="0.25">
      <c r="E9" s="166" t="s">
        <v>176</v>
      </c>
      <c r="F9" s="167" t="s">
        <v>164</v>
      </c>
      <c r="G9" s="167" t="s">
        <v>165</v>
      </c>
      <c r="H9" s="167" t="s">
        <v>167</v>
      </c>
      <c r="I9" s="167" t="s">
        <v>166</v>
      </c>
    </row>
    <row r="10" spans="5:9" ht="30.95" customHeight="1" x14ac:dyDescent="0.25">
      <c r="E10" s="165" t="s">
        <v>160</v>
      </c>
      <c r="F10" s="165" t="s">
        <v>168</v>
      </c>
      <c r="G10" s="165" t="s">
        <v>172</v>
      </c>
      <c r="H10" s="164">
        <v>2007</v>
      </c>
      <c r="I10" s="164" t="s">
        <v>171</v>
      </c>
    </row>
    <row r="11" spans="5:9" ht="30.95" customHeight="1" x14ac:dyDescent="0.25">
      <c r="E11" s="168" t="s">
        <v>161</v>
      </c>
      <c r="F11" s="168" t="s">
        <v>169</v>
      </c>
      <c r="G11" s="168" t="s">
        <v>173</v>
      </c>
      <c r="H11" s="169">
        <v>2013</v>
      </c>
      <c r="I11" s="169" t="s">
        <v>171</v>
      </c>
    </row>
    <row r="12" spans="5:9" ht="30.95" customHeight="1" x14ac:dyDescent="0.25">
      <c r="E12" s="165" t="s">
        <v>162</v>
      </c>
      <c r="F12" s="165" t="s">
        <v>170</v>
      </c>
      <c r="G12" s="165" t="s">
        <v>174</v>
      </c>
      <c r="H12" s="164">
        <v>2013</v>
      </c>
      <c r="I12" s="164" t="s">
        <v>171</v>
      </c>
    </row>
    <row r="13" spans="5:9" ht="30.95" customHeight="1" x14ac:dyDescent="0.25">
      <c r="E13" s="168" t="s">
        <v>163</v>
      </c>
      <c r="F13" s="168" t="s">
        <v>170</v>
      </c>
      <c r="G13" s="168" t="s">
        <v>175</v>
      </c>
      <c r="H13" s="169">
        <v>2015</v>
      </c>
      <c r="I13" s="169" t="s">
        <v>171</v>
      </c>
    </row>
  </sheetData>
  <mergeCells count="1">
    <mergeCell ref="E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Ratio</vt:lpstr>
      <vt:lpstr>Synthèse données &amp; ratios</vt:lpstr>
      <vt:lpstr>Chiffres clés</vt:lpstr>
      <vt:lpstr> analyse 5ans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FP-Consulting</dc:creator>
  <cp:lastModifiedBy>Anouar Hassoune</cp:lastModifiedBy>
  <cp:lastPrinted>2020-03-02T17:53:09Z</cp:lastPrinted>
  <dcterms:created xsi:type="dcterms:W3CDTF">2013-02-17T08:35:08Z</dcterms:created>
  <dcterms:modified xsi:type="dcterms:W3CDTF">2021-05-10T13:29:34Z</dcterms:modified>
</cp:coreProperties>
</file>